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FINANCE\Public\Congregational Financial Reports\2024\"/>
    </mc:Choice>
  </mc:AlternateContent>
  <xr:revisionPtr revIDLastSave="0" documentId="13_ncr:1_{7258B30D-D533-44AA-967B-055C8A18121C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QB month" sheetId="13" r:id="rId1"/>
    <sheet name="QB year" sheetId="14" r:id="rId2"/>
    <sheet name="proofing" sheetId="15" r:id="rId3"/>
    <sheet name="August 2024" sheetId="12" r:id="rId4"/>
  </sheets>
  <definedNames>
    <definedName name="_xlnm._FilterDatabase" localSheetId="3" hidden="1">'August 2024'!$B$1:$B$379</definedName>
    <definedName name="_xlnm._FilterDatabase" localSheetId="2" hidden="1">proofing!$F$1:$F$24</definedName>
    <definedName name="_xlnm._FilterDatabase" localSheetId="0" hidden="1">'QB month'!$O$1:$O$259</definedName>
    <definedName name="_xlnm._FilterDatabase" localSheetId="1" hidden="1">'QB year'!$K$1:$K$712</definedName>
    <definedName name="_xlnm.Print_Area" localSheetId="3">'August 2024'!$A$4:$K$171</definedName>
    <definedName name="_xlnm.Print_Area" localSheetId="2">proofing!$F$1:$N$22</definedName>
    <definedName name="_xlnm.Print_Area" localSheetId="0">'QB month'!$K$1:$O$173</definedName>
    <definedName name="_xlnm.Print_Titles" localSheetId="3">'August 2024'!$A:$B,'August 2024'!$6:$8</definedName>
    <definedName name="_xlnm.Print_Titles" localSheetId="2">proofing!#REF!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5" i="13" l="1"/>
  <c r="Q162" i="13"/>
  <c r="Q160" i="13"/>
  <c r="Q157" i="13"/>
  <c r="Q155" i="13"/>
  <c r="Q153" i="13"/>
  <c r="Q151" i="13"/>
  <c r="Q149" i="13"/>
  <c r="Q147" i="13"/>
  <c r="Q145" i="13"/>
  <c r="Q143" i="13"/>
  <c r="Q141" i="13"/>
  <c r="Q138" i="13"/>
  <c r="Q136" i="13"/>
  <c r="Q134" i="13"/>
  <c r="Q131" i="13"/>
  <c r="Q129" i="13"/>
  <c r="Q127" i="13"/>
  <c r="Q125" i="13"/>
  <c r="Q123" i="13"/>
  <c r="Q121" i="13"/>
  <c r="Q119" i="13"/>
  <c r="Q116" i="13"/>
  <c r="Q114" i="13"/>
  <c r="Q112" i="13"/>
  <c r="Q110" i="13"/>
  <c r="Q108" i="13"/>
  <c r="Q106" i="13"/>
  <c r="Q104" i="13"/>
  <c r="Q102" i="13"/>
  <c r="Q100" i="13"/>
  <c r="Q98" i="13"/>
  <c r="Q96" i="13"/>
  <c r="Q94" i="13"/>
  <c r="Q92" i="13"/>
  <c r="Q90" i="13"/>
  <c r="Q88" i="13"/>
  <c r="Q86" i="13"/>
  <c r="Q84" i="13"/>
  <c r="Q82" i="13"/>
  <c r="Q79" i="13"/>
  <c r="Q77" i="13"/>
  <c r="Q75" i="13"/>
  <c r="Q73" i="13"/>
  <c r="Q71" i="13"/>
  <c r="Q69" i="13"/>
  <c r="Q67" i="13"/>
  <c r="Q65" i="13"/>
  <c r="Q63" i="13"/>
  <c r="Q61" i="13"/>
  <c r="Q59" i="13"/>
  <c r="Q57" i="13"/>
  <c r="Q55" i="13"/>
  <c r="Q53" i="13"/>
  <c r="Q51" i="13"/>
  <c r="Q49" i="13"/>
  <c r="Q47" i="13"/>
  <c r="Q45" i="13"/>
  <c r="Q43" i="13"/>
  <c r="Q41" i="13"/>
  <c r="Q39" i="13"/>
  <c r="Q37" i="13"/>
  <c r="Q35" i="13"/>
  <c r="Q33" i="13"/>
  <c r="Q31" i="13"/>
  <c r="Q29" i="13"/>
  <c r="Q27" i="13"/>
  <c r="Q24" i="13"/>
  <c r="Q22" i="13"/>
  <c r="Q20" i="13"/>
  <c r="Q18" i="13"/>
  <c r="Q16" i="13"/>
  <c r="Q14" i="13"/>
  <c r="Q12" i="13"/>
  <c r="Q10" i="13"/>
  <c r="Q8" i="13"/>
  <c r="Q163" i="13" s="1"/>
  <c r="Q6" i="13"/>
  <c r="Q4" i="13"/>
  <c r="G163" i="12" l="1"/>
  <c r="G25" i="12"/>
  <c r="AA25" i="12"/>
  <c r="P202" i="14"/>
  <c r="P185" i="14"/>
  <c r="AA175" i="12"/>
  <c r="AA166" i="12"/>
  <c r="AA165" i="12"/>
  <c r="AA164" i="12"/>
  <c r="AA168" i="12"/>
  <c r="AA158" i="12"/>
  <c r="AA157" i="12"/>
  <c r="AA156" i="12"/>
  <c r="AA155" i="12"/>
  <c r="AA154" i="12"/>
  <c r="AA152" i="12"/>
  <c r="AA151" i="12"/>
  <c r="AA150" i="12"/>
  <c r="AA159" i="12" s="1"/>
  <c r="AA146" i="12"/>
  <c r="AA145" i="12"/>
  <c r="AA147" i="12" s="1"/>
  <c r="AA144" i="12"/>
  <c r="AA143" i="12"/>
  <c r="AA142" i="12"/>
  <c r="AA140" i="12"/>
  <c r="AA139" i="12"/>
  <c r="AA135" i="12"/>
  <c r="AA134" i="12"/>
  <c r="AA133" i="12"/>
  <c r="AA132" i="12"/>
  <c r="AA131" i="12"/>
  <c r="AA130" i="12"/>
  <c r="AA136" i="12" s="1"/>
  <c r="AA129" i="12"/>
  <c r="AA128" i="12"/>
  <c r="AA124" i="12"/>
  <c r="AA123" i="12"/>
  <c r="AA122" i="12"/>
  <c r="AA121" i="12"/>
  <c r="AA120" i="12"/>
  <c r="AA119" i="12"/>
  <c r="AA117" i="12"/>
  <c r="AA125" i="12" s="1"/>
  <c r="AA113" i="12"/>
  <c r="AA114" i="12" s="1"/>
  <c r="AA112" i="12"/>
  <c r="AA111" i="12"/>
  <c r="AA110" i="12"/>
  <c r="AA109" i="12"/>
  <c r="AA108" i="12"/>
  <c r="AA107" i="12"/>
  <c r="AA106" i="12"/>
  <c r="AA105" i="12"/>
  <c r="AA104" i="12"/>
  <c r="AA103" i="12"/>
  <c r="AA98" i="12"/>
  <c r="AA100" i="12" s="1"/>
  <c r="AA97" i="12"/>
  <c r="AA95" i="12"/>
  <c r="AA94" i="12"/>
  <c r="AA93" i="12"/>
  <c r="AA92" i="12"/>
  <c r="AA87" i="12"/>
  <c r="AA86" i="12"/>
  <c r="AA85" i="12"/>
  <c r="AA84" i="12"/>
  <c r="AA83" i="12"/>
  <c r="AA82" i="12"/>
  <c r="AA88" i="12" s="1"/>
  <c r="AA81" i="12"/>
  <c r="AA80" i="12"/>
  <c r="AA79" i="12"/>
  <c r="AA78" i="12"/>
  <c r="AA77" i="12"/>
  <c r="AA73" i="12"/>
  <c r="AA72" i="12"/>
  <c r="AA71" i="12"/>
  <c r="AA70" i="12"/>
  <c r="AA69" i="12"/>
  <c r="AA68" i="12"/>
  <c r="AA74" i="12" s="1"/>
  <c r="AA67" i="12"/>
  <c r="AA66" i="12"/>
  <c r="AA64" i="12"/>
  <c r="AA63" i="12"/>
  <c r="AA62" i="12"/>
  <c r="AA58" i="12"/>
  <c r="AA57" i="12"/>
  <c r="AA56" i="12"/>
  <c r="AA55" i="12"/>
  <c r="AA54" i="12"/>
  <c r="AA52" i="12"/>
  <c r="AA59" i="12" s="1"/>
  <c r="AA51" i="12"/>
  <c r="AA48" i="12"/>
  <c r="AA46" i="12"/>
  <c r="AA42" i="12"/>
  <c r="AA41" i="12"/>
  <c r="AA40" i="12"/>
  <c r="AA39" i="12"/>
  <c r="AA37" i="12"/>
  <c r="AA36" i="12"/>
  <c r="AA35" i="12"/>
  <c r="AA34" i="12"/>
  <c r="AA43" i="12" s="1"/>
  <c r="AA30" i="12"/>
  <c r="AA28" i="12"/>
  <c r="AA27" i="12"/>
  <c r="AA26" i="12"/>
  <c r="AA23" i="12"/>
  <c r="AA22" i="12"/>
  <c r="AA31" i="12" s="1"/>
  <c r="AA18" i="12"/>
  <c r="AA17" i="12"/>
  <c r="AA15" i="12"/>
  <c r="AA19" i="12" s="1"/>
  <c r="AA14" i="12"/>
  <c r="AA13" i="12"/>
  <c r="AA12" i="12"/>
  <c r="AA11" i="12"/>
  <c r="C106" i="15"/>
  <c r="G73" i="12"/>
  <c r="G124" i="12"/>
  <c r="G146" i="12"/>
  <c r="G135" i="12"/>
  <c r="G134" i="12"/>
  <c r="G157" i="12"/>
  <c r="G30" i="12"/>
  <c r="G133" i="12"/>
  <c r="G71" i="12"/>
  <c r="G70" i="12"/>
  <c r="G87" i="12"/>
  <c r="G42" i="12"/>
  <c r="G41" i="12"/>
  <c r="G28" i="12"/>
  <c r="G156" i="12"/>
  <c r="G27" i="12"/>
  <c r="G113" i="12"/>
  <c r="G112" i="12"/>
  <c r="G69" i="12"/>
  <c r="G122" i="12"/>
  <c r="G123" i="12"/>
  <c r="G121" i="12"/>
  <c r="G86" i="12"/>
  <c r="G143" i="12"/>
  <c r="G132" i="12"/>
  <c r="G111" i="12"/>
  <c r="G56" i="12"/>
  <c r="G166" i="12"/>
  <c r="G40" i="12"/>
  <c r="G109" i="12"/>
  <c r="G108" i="12"/>
  <c r="G106" i="12"/>
  <c r="G68" i="12"/>
  <c r="G155" i="12"/>
  <c r="G26" i="12"/>
  <c r="G18" i="12"/>
  <c r="G39" i="12"/>
  <c r="G98" i="12"/>
  <c r="G84" i="12"/>
  <c r="G83" i="12"/>
  <c r="O687" i="14"/>
  <c r="O688" i="14" s="1"/>
  <c r="G82" i="12"/>
  <c r="G165" i="12"/>
  <c r="G66" i="12"/>
  <c r="G54" i="12"/>
  <c r="G164" i="12"/>
  <c r="G81" i="12"/>
  <c r="G105" i="12"/>
  <c r="G97" i="12"/>
  <c r="G95" i="12"/>
  <c r="G52" i="12"/>
  <c r="G119" i="12"/>
  <c r="G37" i="12"/>
  <c r="G154" i="12"/>
  <c r="G36" i="12"/>
  <c r="G34" i="12"/>
  <c r="G80" i="12"/>
  <c r="G130" i="12"/>
  <c r="G104" i="12"/>
  <c r="G129" i="12"/>
  <c r="G79" i="12"/>
  <c r="G78" i="12"/>
  <c r="G128" i="12"/>
  <c r="G103" i="12"/>
  <c r="G140" i="12"/>
  <c r="G48" i="12"/>
  <c r="G14" i="12"/>
  <c r="G13" i="12"/>
  <c r="G117" i="12"/>
  <c r="G139" i="12"/>
  <c r="G93" i="12"/>
  <c r="G22" i="12"/>
  <c r="G46" i="12"/>
  <c r="G11" i="12"/>
  <c r="G92" i="12"/>
  <c r="AA170" i="12" l="1"/>
  <c r="AA173" i="12" s="1"/>
  <c r="H167" i="12" l="1"/>
  <c r="H166" i="12"/>
  <c r="H165" i="12"/>
  <c r="H164" i="12"/>
  <c r="H163" i="12"/>
  <c r="H162" i="12"/>
  <c r="H158" i="12"/>
  <c r="H157" i="12"/>
  <c r="H156" i="12"/>
  <c r="H155" i="12"/>
  <c r="H154" i="12"/>
  <c r="H153" i="12"/>
  <c r="H152" i="12"/>
  <c r="H151" i="12"/>
  <c r="H150" i="12"/>
  <c r="H146" i="12"/>
  <c r="H145" i="12"/>
  <c r="H144" i="12"/>
  <c r="H143" i="12"/>
  <c r="H142" i="12"/>
  <c r="H141" i="12"/>
  <c r="H140" i="12"/>
  <c r="H139" i="12"/>
  <c r="H135" i="12"/>
  <c r="H134" i="12"/>
  <c r="H133" i="12"/>
  <c r="H132" i="12"/>
  <c r="H131" i="12"/>
  <c r="H130" i="12"/>
  <c r="H129" i="12"/>
  <c r="H128" i="12"/>
  <c r="H124" i="12"/>
  <c r="H123" i="12"/>
  <c r="H122" i="12"/>
  <c r="H121" i="12"/>
  <c r="H120" i="12"/>
  <c r="H119" i="12"/>
  <c r="H118" i="12"/>
  <c r="H117" i="12"/>
  <c r="H113" i="12"/>
  <c r="H112" i="12"/>
  <c r="H111" i="12"/>
  <c r="H110" i="12"/>
  <c r="H109" i="12"/>
  <c r="H108" i="12"/>
  <c r="H107" i="12"/>
  <c r="H106" i="12"/>
  <c r="H105" i="12"/>
  <c r="H104" i="12"/>
  <c r="H103" i="12"/>
  <c r="H99" i="12"/>
  <c r="H98" i="12"/>
  <c r="H97" i="12"/>
  <c r="H96" i="12"/>
  <c r="H95" i="12"/>
  <c r="H94" i="12"/>
  <c r="H93" i="12"/>
  <c r="H92" i="12"/>
  <c r="H91" i="12"/>
  <c r="H87" i="12"/>
  <c r="H86" i="12"/>
  <c r="H85" i="12"/>
  <c r="H84" i="12"/>
  <c r="H83" i="12"/>
  <c r="H82" i="12"/>
  <c r="H81" i="12"/>
  <c r="H80" i="12"/>
  <c r="H79" i="12"/>
  <c r="H78" i="12"/>
  <c r="H77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0" i="12"/>
  <c r="H29" i="12"/>
  <c r="H28" i="12"/>
  <c r="H27" i="12"/>
  <c r="H26" i="12"/>
  <c r="H25" i="12"/>
  <c r="H24" i="12"/>
  <c r="H23" i="12"/>
  <c r="H22" i="12"/>
  <c r="H18" i="12"/>
  <c r="H17" i="12"/>
  <c r="H16" i="12"/>
  <c r="H15" i="12"/>
  <c r="H14" i="12"/>
  <c r="H13" i="12"/>
  <c r="H12" i="12"/>
  <c r="H11" i="12"/>
  <c r="G58" i="12"/>
  <c r="G72" i="12"/>
  <c r="G145" i="12"/>
  <c r="G57" i="12"/>
  <c r="G144" i="12"/>
  <c r="G131" i="12"/>
  <c r="G85" i="12"/>
  <c r="G55" i="12"/>
  <c r="G67" i="12"/>
  <c r="G64" i="12"/>
  <c r="G63" i="12"/>
  <c r="G51" i="12"/>
  <c r="G17" i="12"/>
  <c r="G15" i="12"/>
  <c r="G94" i="12"/>
  <c r="G23" i="12"/>
  <c r="G12" i="12" l="1"/>
  <c r="G158" i="12"/>
  <c r="G110" i="12"/>
  <c r="G35" i="12"/>
  <c r="G152" i="12"/>
  <c r="G77" i="12" l="1"/>
  <c r="F66" i="12" l="1"/>
  <c r="G62" i="12"/>
  <c r="G151" i="12"/>
  <c r="F93" i="12"/>
  <c r="G150" i="12" l="1"/>
  <c r="G142" i="12"/>
  <c r="G107" i="12"/>
  <c r="F150" i="12" l="1"/>
  <c r="J87" i="12" l="1"/>
  <c r="J143" i="12"/>
  <c r="J37" i="12" l="1"/>
  <c r="I57" i="12"/>
  <c r="F57" i="12"/>
  <c r="C147" i="12"/>
  <c r="C19" i="12"/>
  <c r="C168" i="12"/>
  <c r="D147" i="12"/>
  <c r="C136" i="12"/>
  <c r="K37" i="12"/>
  <c r="F37" i="12"/>
  <c r="G43" i="12" l="1"/>
  <c r="G88" i="12"/>
  <c r="I37" i="12"/>
  <c r="J167" i="12"/>
  <c r="I118" i="12"/>
  <c r="K118" i="12"/>
  <c r="F118" i="12"/>
  <c r="I117" i="12" l="1"/>
  <c r="J117" i="12"/>
  <c r="J118" i="12"/>
  <c r="K117" i="12"/>
  <c r="H147" i="12" l="1"/>
  <c r="H136" i="12" l="1"/>
  <c r="H114" i="12"/>
  <c r="H100" i="12"/>
  <c r="H88" i="12"/>
  <c r="H74" i="12"/>
  <c r="H59" i="12"/>
  <c r="H43" i="12"/>
  <c r="H31" i="12"/>
  <c r="G147" i="12"/>
  <c r="I147" i="12" s="1"/>
  <c r="E147" i="12"/>
  <c r="H125" i="12"/>
  <c r="H168" i="12"/>
  <c r="F12" i="12"/>
  <c r="H19" i="12" l="1"/>
  <c r="D31" i="12" l="1"/>
  <c r="K141" i="12" l="1"/>
  <c r="J141" i="12"/>
  <c r="F141" i="12"/>
  <c r="K24" i="12"/>
  <c r="J24" i="12"/>
  <c r="I24" i="12"/>
  <c r="F24" i="12"/>
  <c r="I25" i="12"/>
  <c r="D59" i="12"/>
  <c r="I141" i="12" l="1"/>
  <c r="I131" i="12"/>
  <c r="I130" i="12"/>
  <c r="I51" i="12" l="1"/>
  <c r="E59" i="12"/>
  <c r="J156" i="12"/>
  <c r="K151" i="12"/>
  <c r="I146" i="12"/>
  <c r="J139" i="12"/>
  <c r="G136" i="12"/>
  <c r="I136" i="12" s="1"/>
  <c r="J129" i="12"/>
  <c r="I124" i="12"/>
  <c r="K94" i="12"/>
  <c r="J98" i="12"/>
  <c r="I97" i="12"/>
  <c r="K82" i="12"/>
  <c r="I85" i="12"/>
  <c r="K72" i="12"/>
  <c r="J68" i="12"/>
  <c r="K71" i="12"/>
  <c r="I72" i="12"/>
  <c r="K68" i="12"/>
  <c r="J70" i="12"/>
  <c r="J69" i="12"/>
  <c r="J57" i="12"/>
  <c r="K55" i="12"/>
  <c r="J54" i="12"/>
  <c r="K41" i="12"/>
  <c r="J40" i="12"/>
  <c r="I34" i="12"/>
  <c r="I18" i="12"/>
  <c r="J13" i="12"/>
  <c r="I157" i="12"/>
  <c r="J152" i="12"/>
  <c r="J150" i="12"/>
  <c r="I145" i="12"/>
  <c r="I140" i="12"/>
  <c r="I144" i="12"/>
  <c r="I134" i="12"/>
  <c r="I135" i="12"/>
  <c r="I132" i="12"/>
  <c r="J128" i="12"/>
  <c r="J96" i="12"/>
  <c r="J83" i="12"/>
  <c r="J99" i="12"/>
  <c r="J95" i="12"/>
  <c r="J93" i="12"/>
  <c r="J91" i="12"/>
  <c r="I77" i="12"/>
  <c r="I73" i="12"/>
  <c r="J64" i="12"/>
  <c r="I41" i="12"/>
  <c r="J22" i="12"/>
  <c r="J28" i="12"/>
  <c r="J17" i="12"/>
  <c r="J12" i="12"/>
  <c r="E168" i="12"/>
  <c r="D168" i="12"/>
  <c r="K167" i="12"/>
  <c r="F167" i="12"/>
  <c r="F165" i="12"/>
  <c r="F164" i="12"/>
  <c r="F163" i="12"/>
  <c r="K162" i="12"/>
  <c r="J162" i="12"/>
  <c r="I162" i="12"/>
  <c r="F162" i="12"/>
  <c r="K166" i="12"/>
  <c r="J166" i="12"/>
  <c r="F166" i="12"/>
  <c r="E159" i="12"/>
  <c r="D159" i="12"/>
  <c r="C159" i="12"/>
  <c r="K158" i="12"/>
  <c r="J158" i="12"/>
  <c r="I158" i="12"/>
  <c r="F158" i="12"/>
  <c r="K157" i="12"/>
  <c r="F157" i="12"/>
  <c r="K156" i="12"/>
  <c r="I156" i="12"/>
  <c r="F156" i="12"/>
  <c r="K155" i="12"/>
  <c r="F155" i="12"/>
  <c r="K154" i="12"/>
  <c r="I154" i="12"/>
  <c r="J154" i="12"/>
  <c r="F154" i="12"/>
  <c r="K153" i="12"/>
  <c r="J153" i="12"/>
  <c r="F153" i="12"/>
  <c r="K152" i="12"/>
  <c r="I152" i="12"/>
  <c r="F152" i="12"/>
  <c r="J151" i="12"/>
  <c r="F151" i="12"/>
  <c r="K150" i="12"/>
  <c r="I150" i="12"/>
  <c r="K146" i="12"/>
  <c r="F146" i="12"/>
  <c r="K145" i="12"/>
  <c r="J145" i="12"/>
  <c r="F145" i="12"/>
  <c r="K140" i="12"/>
  <c r="F140" i="12"/>
  <c r="F144" i="12"/>
  <c r="K143" i="12"/>
  <c r="I143" i="12"/>
  <c r="F143" i="12"/>
  <c r="K142" i="12"/>
  <c r="J142" i="12"/>
  <c r="F142" i="12"/>
  <c r="K139" i="12"/>
  <c r="F139" i="12"/>
  <c r="E136" i="12"/>
  <c r="D136" i="12"/>
  <c r="K134" i="12"/>
  <c r="F134" i="12"/>
  <c r="K133" i="12"/>
  <c r="I133" i="12"/>
  <c r="J133" i="12"/>
  <c r="F133" i="12"/>
  <c r="K135" i="12"/>
  <c r="F135" i="12"/>
  <c r="F132" i="12"/>
  <c r="K131" i="12"/>
  <c r="J131" i="12"/>
  <c r="F131" i="12"/>
  <c r="K130" i="12"/>
  <c r="J130" i="12"/>
  <c r="F130" i="12"/>
  <c r="K129" i="12"/>
  <c r="F129" i="12"/>
  <c r="K128" i="12"/>
  <c r="F128" i="12"/>
  <c r="D125" i="12"/>
  <c r="C125" i="12"/>
  <c r="K124" i="12"/>
  <c r="F124" i="12"/>
  <c r="F123" i="12"/>
  <c r="F122" i="12"/>
  <c r="F121" i="12"/>
  <c r="F120" i="12"/>
  <c r="F119" i="12"/>
  <c r="F117" i="12"/>
  <c r="E114" i="12"/>
  <c r="D114" i="12"/>
  <c r="C114" i="12"/>
  <c r="F111" i="12"/>
  <c r="K107" i="12"/>
  <c r="F107" i="12"/>
  <c r="F104" i="12"/>
  <c r="F110" i="12"/>
  <c r="F109" i="12"/>
  <c r="F108" i="12"/>
  <c r="F106" i="12"/>
  <c r="F112" i="12"/>
  <c r="F105" i="12"/>
  <c r="F103" i="12"/>
  <c r="F113" i="12"/>
  <c r="D100" i="12"/>
  <c r="C100" i="12"/>
  <c r="I96" i="12"/>
  <c r="K96" i="12"/>
  <c r="F96" i="12"/>
  <c r="J94" i="12"/>
  <c r="F94" i="12"/>
  <c r="I83" i="12"/>
  <c r="K83" i="12"/>
  <c r="F83" i="12"/>
  <c r="K99" i="12"/>
  <c r="F99" i="12"/>
  <c r="K98" i="12"/>
  <c r="F98" i="12"/>
  <c r="J97" i="12"/>
  <c r="K97" i="12"/>
  <c r="F97" i="12"/>
  <c r="I95" i="12"/>
  <c r="K95" i="12"/>
  <c r="F95" i="12"/>
  <c r="E100" i="12"/>
  <c r="K93" i="12"/>
  <c r="K92" i="12"/>
  <c r="J92" i="12"/>
  <c r="F92" i="12"/>
  <c r="K91" i="12"/>
  <c r="F91" i="12"/>
  <c r="D88" i="12"/>
  <c r="C88" i="12"/>
  <c r="F82" i="12"/>
  <c r="K77" i="12"/>
  <c r="F77" i="12"/>
  <c r="E88" i="12"/>
  <c r="K79" i="12"/>
  <c r="F79" i="12"/>
  <c r="J85" i="12"/>
  <c r="K85" i="12"/>
  <c r="F85" i="12"/>
  <c r="K87" i="12"/>
  <c r="I87" i="12"/>
  <c r="F87" i="12"/>
  <c r="F86" i="12"/>
  <c r="F84" i="12"/>
  <c r="F81" i="12"/>
  <c r="F80" i="12"/>
  <c r="F78" i="12"/>
  <c r="E74" i="12"/>
  <c r="D74" i="12"/>
  <c r="C74" i="12"/>
  <c r="J72" i="12"/>
  <c r="F72" i="12"/>
  <c r="K67" i="12"/>
  <c r="I67" i="12"/>
  <c r="F67" i="12"/>
  <c r="I68" i="12"/>
  <c r="F68" i="12"/>
  <c r="K70" i="12"/>
  <c r="F70" i="12"/>
  <c r="K73" i="12"/>
  <c r="F73" i="12"/>
  <c r="F71" i="12"/>
  <c r="K69" i="12"/>
  <c r="F69" i="12"/>
  <c r="I64" i="12"/>
  <c r="K64" i="12"/>
  <c r="F64" i="12"/>
  <c r="J66" i="12"/>
  <c r="I66" i="12"/>
  <c r="K66" i="12"/>
  <c r="K65" i="12"/>
  <c r="J65" i="12"/>
  <c r="I65" i="12"/>
  <c r="F65" i="12"/>
  <c r="K63" i="12"/>
  <c r="I63" i="12"/>
  <c r="J63" i="12"/>
  <c r="F63" i="12"/>
  <c r="F62" i="12"/>
  <c r="C59" i="12"/>
  <c r="K51" i="12"/>
  <c r="J51" i="12"/>
  <c r="F51" i="12"/>
  <c r="J50" i="12"/>
  <c r="I50" i="12"/>
  <c r="K50" i="12"/>
  <c r="F50" i="12"/>
  <c r="J56" i="12"/>
  <c r="I56" i="12"/>
  <c r="K56" i="12"/>
  <c r="F56" i="12"/>
  <c r="K58" i="12"/>
  <c r="J58" i="12"/>
  <c r="F58" i="12"/>
  <c r="K57" i="12"/>
  <c r="J55" i="12"/>
  <c r="F55" i="12"/>
  <c r="K54" i="12"/>
  <c r="F54" i="12"/>
  <c r="F53" i="12"/>
  <c r="F48" i="12"/>
  <c r="F49" i="12"/>
  <c r="K47" i="12"/>
  <c r="F47" i="12"/>
  <c r="F46" i="12"/>
  <c r="E43" i="12"/>
  <c r="D43" i="12"/>
  <c r="C43" i="12"/>
  <c r="F42" i="12"/>
  <c r="F41" i="12"/>
  <c r="K40" i="12"/>
  <c r="I40" i="12"/>
  <c r="F40" i="12"/>
  <c r="K36" i="12"/>
  <c r="I36" i="12"/>
  <c r="F36" i="12"/>
  <c r="K35" i="12"/>
  <c r="F35" i="12"/>
  <c r="K34" i="12"/>
  <c r="F34" i="12"/>
  <c r="K38" i="12"/>
  <c r="J38" i="12"/>
  <c r="I38" i="12"/>
  <c r="F38" i="12"/>
  <c r="K39" i="12"/>
  <c r="F39" i="12"/>
  <c r="E31" i="12"/>
  <c r="C31" i="12"/>
  <c r="K29" i="12"/>
  <c r="I29" i="12"/>
  <c r="J29" i="12"/>
  <c r="F29" i="12"/>
  <c r="F27" i="12"/>
  <c r="F26" i="12"/>
  <c r="F22" i="12"/>
  <c r="F30" i="12"/>
  <c r="F28" i="12"/>
  <c r="K52" i="12"/>
  <c r="F52" i="12"/>
  <c r="K25" i="12"/>
  <c r="F25" i="12"/>
  <c r="K23" i="12"/>
  <c r="F23" i="12"/>
  <c r="D19" i="12"/>
  <c r="F18" i="12"/>
  <c r="K15" i="12"/>
  <c r="J15" i="12"/>
  <c r="I15" i="12"/>
  <c r="F15" i="12"/>
  <c r="I17" i="12"/>
  <c r="K17" i="12"/>
  <c r="F17" i="12"/>
  <c r="J16" i="12"/>
  <c r="I16" i="12"/>
  <c r="K16" i="12"/>
  <c r="F16" i="12"/>
  <c r="E19" i="12"/>
  <c r="I14" i="12"/>
  <c r="F14" i="12"/>
  <c r="F13" i="12"/>
  <c r="K11" i="12"/>
  <c r="F11" i="12"/>
  <c r="D170" i="12" l="1"/>
  <c r="F147" i="12"/>
  <c r="F88" i="12"/>
  <c r="F43" i="12"/>
  <c r="F31" i="12"/>
  <c r="F100" i="12"/>
  <c r="F74" i="12"/>
  <c r="F59" i="12"/>
  <c r="F19" i="12"/>
  <c r="I155" i="12"/>
  <c r="J146" i="12"/>
  <c r="J144" i="12"/>
  <c r="K144" i="12"/>
  <c r="J134" i="12"/>
  <c r="K132" i="12"/>
  <c r="J124" i="12"/>
  <c r="I94" i="12"/>
  <c r="G100" i="12"/>
  <c r="I98" i="12"/>
  <c r="I82" i="12"/>
  <c r="J79" i="12"/>
  <c r="J71" i="12"/>
  <c r="I70" i="12"/>
  <c r="I69" i="12"/>
  <c r="J35" i="12"/>
  <c r="J34" i="12"/>
  <c r="I13" i="12"/>
  <c r="H159" i="12"/>
  <c r="J155" i="12"/>
  <c r="J157" i="12"/>
  <c r="I151" i="12"/>
  <c r="J140" i="12"/>
  <c r="I142" i="12"/>
  <c r="J132" i="12"/>
  <c r="I129" i="12"/>
  <c r="J135" i="12"/>
  <c r="I91" i="12"/>
  <c r="I93" i="12"/>
  <c r="I99" i="12"/>
  <c r="I92" i="12"/>
  <c r="I79" i="12"/>
  <c r="J77" i="12"/>
  <c r="J73" i="12"/>
  <c r="I71" i="12"/>
  <c r="J41" i="12"/>
  <c r="I35" i="12"/>
  <c r="I12" i="12"/>
  <c r="J25" i="12"/>
  <c r="J39" i="12"/>
  <c r="J49" i="12"/>
  <c r="K49" i="12"/>
  <c r="I49" i="12"/>
  <c r="K80" i="12"/>
  <c r="J80" i="12"/>
  <c r="I80" i="12"/>
  <c r="K84" i="12"/>
  <c r="J84" i="12"/>
  <c r="I84" i="12"/>
  <c r="I88" i="12"/>
  <c r="K105" i="12"/>
  <c r="J105" i="12"/>
  <c r="I105" i="12"/>
  <c r="K106" i="12"/>
  <c r="J106" i="12"/>
  <c r="I106" i="12"/>
  <c r="K109" i="12"/>
  <c r="I109" i="12"/>
  <c r="K104" i="12"/>
  <c r="J104" i="12"/>
  <c r="I104" i="12"/>
  <c r="K163" i="12"/>
  <c r="J163" i="12"/>
  <c r="G168" i="12"/>
  <c r="I168" i="12" s="1"/>
  <c r="I163" i="12"/>
  <c r="K165" i="12"/>
  <c r="J165" i="12"/>
  <c r="I165" i="12"/>
  <c r="G31" i="12"/>
  <c r="K22" i="12"/>
  <c r="I22" i="12"/>
  <c r="I39" i="12"/>
  <c r="K53" i="12"/>
  <c r="J53" i="12"/>
  <c r="I53" i="12"/>
  <c r="K111" i="12"/>
  <c r="J111" i="12"/>
  <c r="I111" i="12"/>
  <c r="K119" i="12"/>
  <c r="J119" i="12"/>
  <c r="I119" i="12"/>
  <c r="K121" i="12"/>
  <c r="J121" i="12"/>
  <c r="I121" i="12"/>
  <c r="K123" i="12"/>
  <c r="J123" i="12"/>
  <c r="I123" i="12"/>
  <c r="J14" i="12"/>
  <c r="J23" i="12"/>
  <c r="I23" i="12"/>
  <c r="K27" i="12"/>
  <c r="J27" i="12"/>
  <c r="I27" i="12"/>
  <c r="J36" i="12"/>
  <c r="K62" i="12"/>
  <c r="J62" i="12"/>
  <c r="G74" i="12"/>
  <c r="I62" i="12"/>
  <c r="J67" i="12"/>
  <c r="J82" i="12"/>
  <c r="E125" i="12"/>
  <c r="E170" i="12" s="1"/>
  <c r="G175" i="12" s="1"/>
  <c r="F159" i="12"/>
  <c r="F168" i="12"/>
  <c r="K18" i="12"/>
  <c r="J18" i="12"/>
  <c r="K46" i="12"/>
  <c r="J46" i="12"/>
  <c r="I46" i="12"/>
  <c r="G59" i="12"/>
  <c r="I11" i="12"/>
  <c r="G19" i="12"/>
  <c r="K14" i="12"/>
  <c r="K30" i="12"/>
  <c r="I30" i="12"/>
  <c r="I47" i="12"/>
  <c r="K81" i="12"/>
  <c r="J81" i="12"/>
  <c r="I81" i="12"/>
  <c r="K112" i="12"/>
  <c r="J112" i="12"/>
  <c r="I112" i="12"/>
  <c r="K108" i="12"/>
  <c r="J108" i="12"/>
  <c r="I108" i="12"/>
  <c r="K42" i="12"/>
  <c r="J42" i="12"/>
  <c r="I42" i="12"/>
  <c r="K48" i="12"/>
  <c r="J48" i="12"/>
  <c r="I48" i="12"/>
  <c r="K78" i="12"/>
  <c r="J78" i="12"/>
  <c r="I78" i="12"/>
  <c r="K86" i="12"/>
  <c r="J86" i="12"/>
  <c r="I86" i="12"/>
  <c r="K103" i="12"/>
  <c r="J103" i="12"/>
  <c r="I103" i="12"/>
  <c r="K110" i="12"/>
  <c r="J110" i="12"/>
  <c r="I110" i="12"/>
  <c r="F125" i="12"/>
  <c r="K164" i="12"/>
  <c r="J164" i="12"/>
  <c r="I164" i="12"/>
  <c r="I167" i="12"/>
  <c r="K13" i="12"/>
  <c r="J52" i="12"/>
  <c r="I52" i="12"/>
  <c r="F114" i="12"/>
  <c r="J107" i="12"/>
  <c r="I107" i="12"/>
  <c r="G125" i="12"/>
  <c r="I125" i="12" s="1"/>
  <c r="K120" i="12"/>
  <c r="J120" i="12"/>
  <c r="I120" i="12"/>
  <c r="K122" i="12"/>
  <c r="J122" i="12"/>
  <c r="I122" i="12"/>
  <c r="F136" i="12"/>
  <c r="J11" i="12"/>
  <c r="K12" i="12"/>
  <c r="K28" i="12"/>
  <c r="I28" i="12"/>
  <c r="J30" i="12"/>
  <c r="J26" i="12"/>
  <c r="K26" i="12"/>
  <c r="I26" i="12"/>
  <c r="K113" i="12"/>
  <c r="G114" i="12"/>
  <c r="J113" i="12"/>
  <c r="I113" i="12"/>
  <c r="K136" i="12"/>
  <c r="C170" i="12"/>
  <c r="I54" i="12"/>
  <c r="I55" i="12"/>
  <c r="I58" i="12"/>
  <c r="I153" i="12"/>
  <c r="G159" i="12"/>
  <c r="I166" i="12"/>
  <c r="I128" i="12"/>
  <c r="I139" i="12"/>
  <c r="D175" i="12" l="1"/>
  <c r="D173" i="12" s="1"/>
  <c r="G170" i="12"/>
  <c r="G173" i="12" s="1"/>
  <c r="I114" i="12"/>
  <c r="I159" i="12"/>
  <c r="K100" i="12"/>
  <c r="I100" i="12"/>
  <c r="F170" i="12"/>
  <c r="H175" i="12" s="1"/>
  <c r="J147" i="12"/>
  <c r="J100" i="12"/>
  <c r="K147" i="12"/>
  <c r="J136" i="12"/>
  <c r="H170" i="12"/>
  <c r="I43" i="12"/>
  <c r="J43" i="12"/>
  <c r="K43" i="12"/>
  <c r="K159" i="12"/>
  <c r="J159" i="12"/>
  <c r="K19" i="12"/>
  <c r="I19" i="12"/>
  <c r="J19" i="12"/>
  <c r="K88" i="12"/>
  <c r="J88" i="12"/>
  <c r="K114" i="12"/>
  <c r="J114" i="12"/>
  <c r="J59" i="12"/>
  <c r="I59" i="12"/>
  <c r="K59" i="12"/>
  <c r="J74" i="12"/>
  <c r="I74" i="12"/>
  <c r="K74" i="12"/>
  <c r="K168" i="12"/>
  <c r="J168" i="12"/>
  <c r="K125" i="12"/>
  <c r="J125" i="12"/>
  <c r="J31" i="12"/>
  <c r="I31" i="12"/>
  <c r="K31" i="12"/>
  <c r="H173" i="12" l="1"/>
  <c r="I173" i="12"/>
  <c r="K170" i="12"/>
  <c r="J170" i="12"/>
  <c r="I17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175" authorId="0" shapeId="0" xr:uid="{A1124699-9F15-4D55-A1AF-298CC0DB3DA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pledge * the month (changes monthly)</t>
        </r>
      </text>
    </comment>
  </commentList>
</comments>
</file>

<file path=xl/sharedStrings.xml><?xml version="1.0" encoding="utf-8"?>
<sst xmlns="http://schemas.openxmlformats.org/spreadsheetml/2006/main" count="3660" uniqueCount="1217">
  <si>
    <t>Comm</t>
  </si>
  <si>
    <t>Current YR Pledge</t>
  </si>
  <si>
    <t>Remittance</t>
  </si>
  <si>
    <t>Pledge</t>
  </si>
  <si>
    <t>YTD Remittance</t>
  </si>
  <si>
    <t>YTD Pledge</t>
  </si>
  <si>
    <t>% Pledge</t>
  </si>
  <si>
    <t>Circuit 01</t>
  </si>
  <si>
    <t>Athens - Athens Lutheran Church</t>
  </si>
  <si>
    <t>0102</t>
  </si>
  <si>
    <t xml:space="preserve">Chattanooga - Cross Of Christ Luth. </t>
  </si>
  <si>
    <t>0103</t>
  </si>
  <si>
    <t>Chattanooga - First Lutheran Church</t>
  </si>
  <si>
    <t>0104</t>
  </si>
  <si>
    <t xml:space="preserve">Chattanooga - Good Shepherd Lutheran </t>
  </si>
  <si>
    <t>0105</t>
  </si>
  <si>
    <t>Chattanooga - St. Philip Lutheran Church</t>
  </si>
  <si>
    <t>0106</t>
  </si>
  <si>
    <t>Cleveland - First Lutheran Church</t>
  </si>
  <si>
    <t>0108</t>
  </si>
  <si>
    <t>Chattanooga - Spirit of Joy</t>
  </si>
  <si>
    <t>Circuit 01 Total</t>
  </si>
  <si>
    <t>Circuit 02</t>
  </si>
  <si>
    <t>0201</t>
  </si>
  <si>
    <t>Bentonville - Faith Lutheran Church</t>
  </si>
  <si>
    <t>0203</t>
  </si>
  <si>
    <t>Fayetteville - St. John Lutheran Church</t>
  </si>
  <si>
    <t>0204</t>
  </si>
  <si>
    <t>Harrison - First Lutheran Church</t>
  </si>
  <si>
    <t>0205</t>
  </si>
  <si>
    <t>Holiday Island - Grace Lutheran Church</t>
  </si>
  <si>
    <t>0208</t>
  </si>
  <si>
    <t>Rogers - Holy Trinity Lutheran Church</t>
  </si>
  <si>
    <t>0210</t>
  </si>
  <si>
    <t>0211</t>
  </si>
  <si>
    <t>Bella Vista - Bella Vista Lutheran Church</t>
  </si>
  <si>
    <t>0213</t>
  </si>
  <si>
    <t>0215</t>
  </si>
  <si>
    <t>Pea Ridge - Messiah Lutheran Church</t>
  </si>
  <si>
    <t>0216</t>
  </si>
  <si>
    <t>Siloam Springs - Christ Lutheran Church</t>
  </si>
  <si>
    <t>Circuit 02 Total</t>
  </si>
  <si>
    <t>Circuit 03</t>
  </si>
  <si>
    <t>0301</t>
  </si>
  <si>
    <t>London - Zion Lutheran Church</t>
  </si>
  <si>
    <t>0302</t>
  </si>
  <si>
    <t>0303</t>
  </si>
  <si>
    <t>Fort Smith - Bethel Lutheran Church</t>
  </si>
  <si>
    <t>0304</t>
  </si>
  <si>
    <t>Fort Smith - First Lutheran Church</t>
  </si>
  <si>
    <t>0305</t>
  </si>
  <si>
    <t xml:space="preserve">Fort Smith - Our Redeemer Lutheran </t>
  </si>
  <si>
    <t>0306</t>
  </si>
  <si>
    <t>Mena - Trinity Lutheran Church</t>
  </si>
  <si>
    <t>0308</t>
  </si>
  <si>
    <t>Russellville - St. John's Lutheran Church</t>
  </si>
  <si>
    <t>0310</t>
  </si>
  <si>
    <t>Greenwood - Grace Lutheran Church</t>
  </si>
  <si>
    <t>Circuit 03 Total</t>
  </si>
  <si>
    <t>Circuit 04</t>
  </si>
  <si>
    <t>0401</t>
  </si>
  <si>
    <t>Batesville - Hope Lutheran Church</t>
  </si>
  <si>
    <t>0402</t>
  </si>
  <si>
    <t>Blytheville - First Lutheran Church</t>
  </si>
  <si>
    <t>0403</t>
  </si>
  <si>
    <t>Corning - St. Matthew Lutheran Church</t>
  </si>
  <si>
    <t>0404</t>
  </si>
  <si>
    <t xml:space="preserve">Cherokee Village - Peace Lutheran </t>
  </si>
  <si>
    <t>0405</t>
  </si>
  <si>
    <t>Horseshoe Bend - Shepherd of the Hills</t>
  </si>
  <si>
    <t>0406</t>
  </si>
  <si>
    <t>0407</t>
  </si>
  <si>
    <t>Lafe - St. John Lutheran Church</t>
  </si>
  <si>
    <t>0408</t>
  </si>
  <si>
    <t>Paragould - Redeemer Lutheran Church</t>
  </si>
  <si>
    <t>0409</t>
  </si>
  <si>
    <t>Waldenburg - Zion Lutheran Church</t>
  </si>
  <si>
    <t>0413</t>
  </si>
  <si>
    <t xml:space="preserve">Mountain Home - Redeemer Lutheran </t>
  </si>
  <si>
    <t>Circuit 04 Total</t>
  </si>
  <si>
    <t>Circuit 05</t>
  </si>
  <si>
    <t>0502</t>
  </si>
  <si>
    <t>Harriman - Redeemer Lutheran Church</t>
  </si>
  <si>
    <t>0503</t>
  </si>
  <si>
    <t>Harrogate - Christ Of The Cumberlands</t>
  </si>
  <si>
    <t>0504</t>
  </si>
  <si>
    <t>Knoxville - First Lutheran Church</t>
  </si>
  <si>
    <t>0505</t>
  </si>
  <si>
    <t>Knoxville - Grace Lutheran Church</t>
  </si>
  <si>
    <t>0506</t>
  </si>
  <si>
    <t>Knoxville - Christus Victor Luth. Church</t>
  </si>
  <si>
    <t>0509</t>
  </si>
  <si>
    <t>Oak Ridge - Faith Lutheran Church</t>
  </si>
  <si>
    <t>0510</t>
  </si>
  <si>
    <t>Seymour - Celebration Lutheran Church</t>
  </si>
  <si>
    <t>0511</t>
  </si>
  <si>
    <t>Wartburg - St. Paul Lutheran Church</t>
  </si>
  <si>
    <t>0513</t>
  </si>
  <si>
    <t>Sevierville - St. Paul Lutheran Church</t>
  </si>
  <si>
    <t>0514</t>
  </si>
  <si>
    <t>Loudon - Christ Our Savior Lutheran Chu</t>
  </si>
  <si>
    <t>0519</t>
  </si>
  <si>
    <t xml:space="preserve">Maryville - Praise Lutheran Church </t>
  </si>
  <si>
    <t>0520</t>
  </si>
  <si>
    <t>Knoxville - The Point</t>
  </si>
  <si>
    <t>Circuit 05 Total</t>
  </si>
  <si>
    <t>Circuit 06</t>
  </si>
  <si>
    <t>0601</t>
  </si>
  <si>
    <t>Conway - Peace Lutheran Church</t>
  </si>
  <si>
    <t>0602</t>
  </si>
  <si>
    <t>Fairfield Bay - Faith Lutheran Church</t>
  </si>
  <si>
    <t>0604</t>
  </si>
  <si>
    <t>Jacksonville - Hope Lutheran Church</t>
  </si>
  <si>
    <t>0605</t>
  </si>
  <si>
    <t>Little Rock - First Lutheran Church</t>
  </si>
  <si>
    <t>0606</t>
  </si>
  <si>
    <t>N. Little Rock - Trinity Lutheran Church</t>
  </si>
  <si>
    <t>0607</t>
  </si>
  <si>
    <t>Searcy - Our Shepherd Lutheran Church</t>
  </si>
  <si>
    <t>0608</t>
  </si>
  <si>
    <t xml:space="preserve">Maumelle - Shepherd Of Peace Luth. </t>
  </si>
  <si>
    <t>0609</t>
  </si>
  <si>
    <t>Conway - St. Matthew Lutheran Church</t>
  </si>
  <si>
    <t>0610</t>
  </si>
  <si>
    <t>Cabot - Our Savior Lutheran Ch.</t>
  </si>
  <si>
    <t>Circuit 06 Total</t>
  </si>
  <si>
    <t>Circuit 07</t>
  </si>
  <si>
    <t>0701</t>
  </si>
  <si>
    <t>Alexander - Immanuel Lutheran Church</t>
  </si>
  <si>
    <t>0702</t>
  </si>
  <si>
    <t>Alexander - Zion Lutheran Church Of Avill</t>
  </si>
  <si>
    <t>0703</t>
  </si>
  <si>
    <t>Benton - First Lutheran Church</t>
  </si>
  <si>
    <t>0704</t>
  </si>
  <si>
    <t>Hot Springs - First Lutheran Church</t>
  </si>
  <si>
    <t>0705</t>
  </si>
  <si>
    <t xml:space="preserve">Hot Springs Village - Faith Lutheran </t>
  </si>
  <si>
    <t>0706</t>
  </si>
  <si>
    <t>Little Rock - Christ Lutheran Church</t>
  </si>
  <si>
    <t>0707</t>
  </si>
  <si>
    <t>Little Rock - Grace Lutheran Church</t>
  </si>
  <si>
    <t>0710</t>
  </si>
  <si>
    <t>Malvern - St. Luke Lutheran Church</t>
  </si>
  <si>
    <t>0711</t>
  </si>
  <si>
    <t>Little Rock - Community of Faith</t>
  </si>
  <si>
    <t>0712</t>
  </si>
  <si>
    <t>Bryant - Friends In Christ</t>
  </si>
  <si>
    <t>0713</t>
  </si>
  <si>
    <t>Circuit 07 Total</t>
  </si>
  <si>
    <t>Circuit 08</t>
  </si>
  <si>
    <t>0801</t>
  </si>
  <si>
    <t>Forrest City - Faith Lutheran Church</t>
  </si>
  <si>
    <t>0803</t>
  </si>
  <si>
    <t>Collierville - Faith Lutheran Church</t>
  </si>
  <si>
    <t>0804</t>
  </si>
  <si>
    <t>Jackson - Concordia Lutheran Church</t>
  </si>
  <si>
    <t>0805</t>
  </si>
  <si>
    <t>Oakland - Holy Spirit Lutheran Church</t>
  </si>
  <si>
    <t>0807</t>
  </si>
  <si>
    <t>Memphis - Christ The King Luth. Church</t>
  </si>
  <si>
    <t>0811</t>
  </si>
  <si>
    <t>Memphis - Immanuel Lutheran Church</t>
  </si>
  <si>
    <t>0813</t>
  </si>
  <si>
    <t>Memphis - Messiah Lutheran Church</t>
  </si>
  <si>
    <t>0814</t>
  </si>
  <si>
    <t>Memphis - Trinity Lutheran Church</t>
  </si>
  <si>
    <t>0815</t>
  </si>
  <si>
    <t xml:space="preserve">Cordova - Grace Celebration Lutheran </t>
  </si>
  <si>
    <t>0816</t>
  </si>
  <si>
    <t>Memphis - Cross Of Calvary Luth. Church</t>
  </si>
  <si>
    <t>0820</t>
  </si>
  <si>
    <t>Munford - Redeeming Grace</t>
  </si>
  <si>
    <t>Circuit 08 Total</t>
  </si>
  <si>
    <t>Circuit 09</t>
  </si>
  <si>
    <t>0903</t>
  </si>
  <si>
    <t>Burns - St. John Lutheran Church</t>
  </si>
  <si>
    <t>0905</t>
  </si>
  <si>
    <t xml:space="preserve">Thompsons Station - Faith Lutheran </t>
  </si>
  <si>
    <t>0907</t>
  </si>
  <si>
    <t>Gallatin - Trinity Lutheran Church</t>
  </si>
  <si>
    <t>0909</t>
  </si>
  <si>
    <t>Hermitage - Emmanuel Lutheran Church</t>
  </si>
  <si>
    <t>0911</t>
  </si>
  <si>
    <t>Madison - Ascension Lutheran Church</t>
  </si>
  <si>
    <t>0913</t>
  </si>
  <si>
    <t>Nashville - Concordia Lutheran Church</t>
  </si>
  <si>
    <t>0915</t>
  </si>
  <si>
    <t>Nashville - Our Savior Lutheran Church</t>
  </si>
  <si>
    <t>0917</t>
  </si>
  <si>
    <t>Nashville - Redeemer Lutheran Church</t>
  </si>
  <si>
    <t>0919</t>
  </si>
  <si>
    <t xml:space="preserve">White House - Prince of Peace Lutheran </t>
  </si>
  <si>
    <t>Circuit 09 Total</t>
  </si>
  <si>
    <t>Circuit 10</t>
  </si>
  <si>
    <t>1001</t>
  </si>
  <si>
    <t>Columbia - Trinity Lutheran Church</t>
  </si>
  <si>
    <t>1003</t>
  </si>
  <si>
    <t>Cookeville - Heavenly Host Luth. Church</t>
  </si>
  <si>
    <t>1005</t>
  </si>
  <si>
    <t>Crossville - Shepherd Of The Hills</t>
  </si>
  <si>
    <t>1007</t>
  </si>
  <si>
    <t xml:space="preserve">Mc Minnville - Shepherd Of Hills Luth. </t>
  </si>
  <si>
    <t>1009</t>
  </si>
  <si>
    <t>Murfreesboro - Grace Lutheran Church</t>
  </si>
  <si>
    <t>1013</t>
  </si>
  <si>
    <t>Tullahoma - Faith Lutheran Church</t>
  </si>
  <si>
    <t>1015</t>
  </si>
  <si>
    <t>Smyrna - Hope Lutheran Church</t>
  </si>
  <si>
    <t>Circuit 10 Total</t>
  </si>
  <si>
    <t>Circuit 11</t>
  </si>
  <si>
    <t>1101</t>
  </si>
  <si>
    <t xml:space="preserve">Bowling Green - Holy Trinity Lutheran </t>
  </si>
  <si>
    <t>1102</t>
  </si>
  <si>
    <t>Hopkinsville - Faith Lutheran Church</t>
  </si>
  <si>
    <t>1103</t>
  </si>
  <si>
    <t>Murray - Immanuel Lutheran Church</t>
  </si>
  <si>
    <t>1104</t>
  </si>
  <si>
    <t>Paducah - St. Paul Lutheran Church</t>
  </si>
  <si>
    <t>1105</t>
  </si>
  <si>
    <t>Clarksville - Grace Lutheran Church</t>
  </si>
  <si>
    <t>1106</t>
  </si>
  <si>
    <t>Dyersburg - Trinity Lutheran Church</t>
  </si>
  <si>
    <t>1107</t>
  </si>
  <si>
    <t>Paris - Christ Lutheran Church</t>
  </si>
  <si>
    <t>1108</t>
  </si>
  <si>
    <t>Union City - Faith Lutheran Church</t>
  </si>
  <si>
    <t>Circuit 11 Total</t>
  </si>
  <si>
    <t>Circuit 12</t>
  </si>
  <si>
    <t>1201</t>
  </si>
  <si>
    <t>Brinkley - Our Savior Lutheran Church</t>
  </si>
  <si>
    <t>1203</t>
  </si>
  <si>
    <t>1204</t>
  </si>
  <si>
    <t>De Witt - St. Luke Lutheran Church</t>
  </si>
  <si>
    <t>1205</t>
  </si>
  <si>
    <t>El Dorado - Our Savior Lutheran Church</t>
  </si>
  <si>
    <t>1206</t>
  </si>
  <si>
    <t>Gillett - St. Paul Lutheran Church</t>
  </si>
  <si>
    <t>1208</t>
  </si>
  <si>
    <t>Magnolia - Faith Lutheran Church</t>
  </si>
  <si>
    <t>1211</t>
  </si>
  <si>
    <t>Pine Bluff - Trinity Lutheran Church</t>
  </si>
  <si>
    <t>1212</t>
  </si>
  <si>
    <t>Stuttgart - St. John Lutheran Church</t>
  </si>
  <si>
    <t>1213</t>
  </si>
  <si>
    <t>Ulm - Zion Lutheran Church</t>
  </si>
  <si>
    <t>Circuit 12 Total</t>
  </si>
  <si>
    <t>Circuit 13</t>
  </si>
  <si>
    <t>1312</t>
  </si>
  <si>
    <t>Morristown - Our Savior Lutheran Church</t>
  </si>
  <si>
    <t>1315</t>
  </si>
  <si>
    <t>1316</t>
  </si>
  <si>
    <t xml:space="preserve">Elizabethton - Redeemer Lutheran </t>
  </si>
  <si>
    <t>1317</t>
  </si>
  <si>
    <t xml:space="preserve">Johnson City - Bethlehem Lutheran </t>
  </si>
  <si>
    <t>1318</t>
  </si>
  <si>
    <t>Kingsport - Concordia Lutheran Church</t>
  </si>
  <si>
    <t>1319</t>
  </si>
  <si>
    <t xml:space="preserve">Rogersville - Hawkins County Lutheran </t>
  </si>
  <si>
    <t>Circuit 13 Total</t>
  </si>
  <si>
    <t>Grand Total:</t>
  </si>
  <si>
    <t>Memphis</t>
  </si>
  <si>
    <t>Chattanooga</t>
  </si>
  <si>
    <t>Fayetteville</t>
  </si>
  <si>
    <t>Fort Smith</t>
  </si>
  <si>
    <t>Jonesboro</t>
  </si>
  <si>
    <t>Knoxville</t>
  </si>
  <si>
    <t>Paducah</t>
  </si>
  <si>
    <t>Stuttgart</t>
  </si>
  <si>
    <t>Johnson City</t>
  </si>
  <si>
    <t>Little Rock-North</t>
  </si>
  <si>
    <t>Little Rock-South</t>
  </si>
  <si>
    <t xml:space="preserve">Lowell (Bethel Heights) - Living Savior Lutheran </t>
  </si>
  <si>
    <t>Springdale - Salem Lutheran Ministries</t>
  </si>
  <si>
    <t>Middle Tennessee</t>
  </si>
  <si>
    <t>purple</t>
  </si>
  <si>
    <t>yellow/blue</t>
  </si>
  <si>
    <t xml:space="preserve">Over/(Under) </t>
  </si>
  <si>
    <t xml:space="preserve"> Per Comm</t>
  </si>
  <si>
    <t>0101</t>
  </si>
  <si>
    <t>Nashville</t>
  </si>
  <si>
    <t>0521</t>
  </si>
  <si>
    <t>Proofing</t>
  </si>
  <si>
    <t>YTD Pledge for this month</t>
  </si>
  <si>
    <t xml:space="preserve">Lamar - River Valley Grace Lutheran </t>
  </si>
  <si>
    <t>enter this month remittance</t>
  </si>
  <si>
    <t>(change month number)</t>
  </si>
  <si>
    <t>Sharps Chapel - Chapel of the Good Shepherd</t>
  </si>
  <si>
    <t>Olive Branch - Beautiful Savior</t>
  </si>
  <si>
    <t>Current Month</t>
  </si>
  <si>
    <t>Hot Springs - LakePointe Lutheran</t>
  </si>
  <si>
    <t>Fayetteville - Restoration</t>
  </si>
  <si>
    <t>0217</t>
  </si>
  <si>
    <t>Sallisaw - Trinity Lutheran Church</t>
  </si>
  <si>
    <t>Jonesboro - All Saints Lutheran Church</t>
  </si>
  <si>
    <t>0821</t>
  </si>
  <si>
    <t>FY24 Mid South District</t>
  </si>
  <si>
    <t>0311</t>
  </si>
  <si>
    <t>Circuit/</t>
  </si>
  <si>
    <t>Congregation</t>
  </si>
  <si>
    <t>Crossett - St. John Lutheran Church (closed 3.2024)</t>
  </si>
  <si>
    <t>Type</t>
  </si>
  <si>
    <t>Date</t>
  </si>
  <si>
    <t>Num</t>
  </si>
  <si>
    <t>Name</t>
  </si>
  <si>
    <t>Memo</t>
  </si>
  <si>
    <t>Amount</t>
  </si>
  <si>
    <t>510101 · Congregational Pledged Support</t>
  </si>
  <si>
    <t>Sales Receipt</t>
  </si>
  <si>
    <t>21569</t>
  </si>
  <si>
    <t>Alexander - Zion Lutheran Chur</t>
  </si>
  <si>
    <t>April 2024 - adjustment</t>
  </si>
  <si>
    <t>May 2024</t>
  </si>
  <si>
    <t>21693</t>
  </si>
  <si>
    <t>Athens - Athens Lutheran Churc</t>
  </si>
  <si>
    <t>June 2024</t>
  </si>
  <si>
    <t>21661</t>
  </si>
  <si>
    <t>Batesville - Hope Lutheran Chu</t>
  </si>
  <si>
    <t>21634</t>
  </si>
  <si>
    <t>Bella Vista - Bella Vista Luth</t>
  </si>
  <si>
    <t>21669</t>
  </si>
  <si>
    <t>21646</t>
  </si>
  <si>
    <t>Bentonville - Faith Lutheran C</t>
  </si>
  <si>
    <t>April 2024</t>
  </si>
  <si>
    <t>21692</t>
  </si>
  <si>
    <t>21603</t>
  </si>
  <si>
    <t>Bowling Green - Holy Trinity L</t>
  </si>
  <si>
    <t>21694</t>
  </si>
  <si>
    <t>Bryant-Friends In Christ</t>
  </si>
  <si>
    <t>21573</t>
  </si>
  <si>
    <t>Chattanooga - Cross Of Christ</t>
  </si>
  <si>
    <t>Jan - June 2024</t>
  </si>
  <si>
    <t>21696</t>
  </si>
  <si>
    <t>Chattanooga - First Lutheran C</t>
  </si>
  <si>
    <t>21672</t>
  </si>
  <si>
    <t>Chattanooga - Good Shepherd Lu</t>
  </si>
  <si>
    <t>21604</t>
  </si>
  <si>
    <t>Cherokee Village - Peace Luthe</t>
  </si>
  <si>
    <t>21697</t>
  </si>
  <si>
    <t>Clarksville - Grace Lutheran C</t>
  </si>
  <si>
    <t>21645</t>
  </si>
  <si>
    <t>Cleveland - First Lutheran Chu</t>
  </si>
  <si>
    <t>21574</t>
  </si>
  <si>
    <t>Collierville - Faith Lutheran</t>
  </si>
  <si>
    <t>21674</t>
  </si>
  <si>
    <t>Columbia - Trinity Lutheran Ch</t>
  </si>
  <si>
    <t>21643</t>
  </si>
  <si>
    <t>21572</t>
  </si>
  <si>
    <t>Conway - St. Matthew Lutheran</t>
  </si>
  <si>
    <t>21639</t>
  </si>
  <si>
    <t>Cookeville - Heavenly Host Lut</t>
  </si>
  <si>
    <t>21584</t>
  </si>
  <si>
    <t>Crossville - Shepherd Of The H</t>
  </si>
  <si>
    <t>21673</t>
  </si>
  <si>
    <t>Fairfield Bay - Faith Lutheran</t>
  </si>
  <si>
    <t>21566</t>
  </si>
  <si>
    <t>Fort Smith - Bethel Lutheran C</t>
  </si>
  <si>
    <t>21703</t>
  </si>
  <si>
    <t>21597</t>
  </si>
  <si>
    <t>Fort Smith - Our Redeemer Luth</t>
  </si>
  <si>
    <t>21676</t>
  </si>
  <si>
    <t>Gillett - St. Paul Lutheran Ch</t>
  </si>
  <si>
    <t>May &amp; June 2024</t>
  </si>
  <si>
    <t>21698</t>
  </si>
  <si>
    <t>Harrogate - Christ Of The Cumb</t>
  </si>
  <si>
    <t>21632</t>
  </si>
  <si>
    <t>Holiday Island - Grace Luthera</t>
  </si>
  <si>
    <t>21655</t>
  </si>
  <si>
    <t>21601</t>
  </si>
  <si>
    <t>Hot Springs - First Lutheran C</t>
  </si>
  <si>
    <t>21649</t>
  </si>
  <si>
    <t>Hot Springs Village - Faith Lu</t>
  </si>
  <si>
    <t>21666</t>
  </si>
  <si>
    <t>Jackson - Concordia Lutheran C</t>
  </si>
  <si>
    <t>21654</t>
  </si>
  <si>
    <t>Jacksonville - Hope Lutheran C</t>
  </si>
  <si>
    <t>21635</t>
  </si>
  <si>
    <t>Johnson City - Bethlehem Luthe</t>
  </si>
  <si>
    <t>21570</t>
  </si>
  <si>
    <t>Kingsport - Concordia Lutheran</t>
  </si>
  <si>
    <t>21647</t>
  </si>
  <si>
    <t>Knoxville - Grace Lutheran Chu</t>
  </si>
  <si>
    <t>21589</t>
  </si>
  <si>
    <t>Knoxville -The Point</t>
  </si>
  <si>
    <t>21633</t>
  </si>
  <si>
    <t>Little Rock - Christ Lutheran</t>
  </si>
  <si>
    <t>21585</t>
  </si>
  <si>
    <t>21623</t>
  </si>
  <si>
    <t>Little Rock - First Lutheran C</t>
  </si>
  <si>
    <t>21701</t>
  </si>
  <si>
    <t>Little Rock - Grace Lutheran C</t>
  </si>
  <si>
    <t>21644</t>
  </si>
  <si>
    <t>21590</t>
  </si>
  <si>
    <t>Loudon - Christ Our Savior Lut</t>
  </si>
  <si>
    <t>21713</t>
  </si>
  <si>
    <t>Madison - Acension Lutheran C</t>
  </si>
  <si>
    <t>21637</t>
  </si>
  <si>
    <t>Magnolia - Faith Lutheran Chur</t>
  </si>
  <si>
    <t>21667</t>
  </si>
  <si>
    <t>Maryville (Alcoa) Praise Luth</t>
  </si>
  <si>
    <t>21627</t>
  </si>
  <si>
    <t>Memphis - Christ The King Luth</t>
  </si>
  <si>
    <t>21640</t>
  </si>
  <si>
    <t>Memphis - Immanuel Lutheran Ch</t>
  </si>
  <si>
    <t>21642</t>
  </si>
  <si>
    <t>Morristown - Our Savior Luther</t>
  </si>
  <si>
    <t>21592</t>
  </si>
  <si>
    <t>Mountain Home - Redeemer</t>
  </si>
  <si>
    <t>21594</t>
  </si>
  <si>
    <t>21568</t>
  </si>
  <si>
    <t>Murfreesboro - Grace Lutheran</t>
  </si>
  <si>
    <t>21690</t>
  </si>
  <si>
    <t>N. Little Rock - Trinity Luthe</t>
  </si>
  <si>
    <t>21598</t>
  </si>
  <si>
    <t>Nashville - Our Savior Luthera</t>
  </si>
  <si>
    <t>21671</t>
  </si>
  <si>
    <t>21600</t>
  </si>
  <si>
    <t>Nashville - Redeemer Lutheran</t>
  </si>
  <si>
    <t>21638</t>
  </si>
  <si>
    <t>Oak Ridge - Faith Lutheran Chu</t>
  </si>
  <si>
    <t>21567</t>
  </si>
  <si>
    <t>March 2024</t>
  </si>
  <si>
    <t>21579</t>
  </si>
  <si>
    <t>21663</t>
  </si>
  <si>
    <t>21636</t>
  </si>
  <si>
    <t>21571</t>
  </si>
  <si>
    <t>Paducah - St. Paul Lutheran Ch</t>
  </si>
  <si>
    <t>21578</t>
  </si>
  <si>
    <t>Paragould - Redeemer Lutheran</t>
  </si>
  <si>
    <t>21602</t>
  </si>
  <si>
    <t>21641</t>
  </si>
  <si>
    <t>Pea Ridge - Messiah</t>
  </si>
  <si>
    <t>21591</t>
  </si>
  <si>
    <t>Pine Bluff - Trinity Lutheran</t>
  </si>
  <si>
    <t>21699</t>
  </si>
  <si>
    <t>Rogers - Holy Trinity Lutheran</t>
  </si>
  <si>
    <t>21605</t>
  </si>
  <si>
    <t>Russellville - St. John's Luth</t>
  </si>
  <si>
    <t>21565</t>
  </si>
  <si>
    <t>21648</t>
  </si>
  <si>
    <t>Searcy - Our Shepherd Lutheran</t>
  </si>
  <si>
    <t>21650</t>
  </si>
  <si>
    <t>21583</t>
  </si>
  <si>
    <t>Sevierville - St. Paul Luther</t>
  </si>
  <si>
    <t>21580</t>
  </si>
  <si>
    <t>Seymour - Celebration Lutheran</t>
  </si>
  <si>
    <t>21702</t>
  </si>
  <si>
    <t>Sharps Chapel -Chapel of the Good Shephe</t>
  </si>
  <si>
    <t>21593</t>
  </si>
  <si>
    <t>Feb thru June 2024</t>
  </si>
  <si>
    <t>21670</t>
  </si>
  <si>
    <t>Thompson's Station TN - Faith</t>
  </si>
  <si>
    <t>21660</t>
  </si>
  <si>
    <t>Tullahoma - Faith Lutheran Chu</t>
  </si>
  <si>
    <t>21689</t>
  </si>
  <si>
    <t>Union City - Faith Lutheran Ch</t>
  </si>
  <si>
    <t>21675</t>
  </si>
  <si>
    <t>Wartburg - St. Paul Lutheran C</t>
  </si>
  <si>
    <t>21691</t>
  </si>
  <si>
    <t>White House - Prince of Peace</t>
  </si>
  <si>
    <t>Total 510101 · Congregational Pledged Support</t>
  </si>
  <si>
    <t>TOTAL</t>
  </si>
  <si>
    <t>21155</t>
  </si>
  <si>
    <t>January 2024</t>
  </si>
  <si>
    <t>21211</t>
  </si>
  <si>
    <t>February 2024</t>
  </si>
  <si>
    <t>21367</t>
  </si>
  <si>
    <t>21049</t>
  </si>
  <si>
    <t>21170</t>
  </si>
  <si>
    <t>21293</t>
  </si>
  <si>
    <t>21411</t>
  </si>
  <si>
    <t>21531</t>
  </si>
  <si>
    <t>21101</t>
  </si>
  <si>
    <t>21134</t>
  </si>
  <si>
    <t>21239</t>
  </si>
  <si>
    <t>21371</t>
  </si>
  <si>
    <t>21503</t>
  </si>
  <si>
    <t>21082</t>
  </si>
  <si>
    <t>21142</t>
  </si>
  <si>
    <t>21264</t>
  </si>
  <si>
    <t>21376</t>
  </si>
  <si>
    <t>21489</t>
  </si>
  <si>
    <t>21066</t>
  </si>
  <si>
    <t>December 2023</t>
  </si>
  <si>
    <t>21078</t>
  </si>
  <si>
    <t>21175</t>
  </si>
  <si>
    <t>21277</t>
  </si>
  <si>
    <t>21071</t>
  </si>
  <si>
    <t>21188</t>
  </si>
  <si>
    <t>21286</t>
  </si>
  <si>
    <t>21373</t>
  </si>
  <si>
    <t>21125</t>
  </si>
  <si>
    <t>21187</t>
  </si>
  <si>
    <t>21243</t>
  </si>
  <si>
    <t>21352</t>
  </si>
  <si>
    <t>21505</t>
  </si>
  <si>
    <t>21201</t>
  </si>
  <si>
    <t>Brinkley - Our Savior Lutheran</t>
  </si>
  <si>
    <t>January thru December 2024</t>
  </si>
  <si>
    <t>21053</t>
  </si>
  <si>
    <t>21186</t>
  </si>
  <si>
    <t>21298</t>
  </si>
  <si>
    <t>21410</t>
  </si>
  <si>
    <t>21539</t>
  </si>
  <si>
    <t>21279</t>
  </si>
  <si>
    <t>Burns - St. John Lutheran Chur</t>
  </si>
  <si>
    <t>Jan, Feb &amp; March 2024</t>
  </si>
  <si>
    <t>21532</t>
  </si>
  <si>
    <t>March &amp; April 2024</t>
  </si>
  <si>
    <t>21127</t>
  </si>
  <si>
    <t>Cabot AR - Our Savior</t>
  </si>
  <si>
    <t>21154</t>
  </si>
  <si>
    <t>21429</t>
  </si>
  <si>
    <t>21430</t>
  </si>
  <si>
    <t>21431</t>
  </si>
  <si>
    <t>21045</t>
  </si>
  <si>
    <t>21129</t>
  </si>
  <si>
    <t>21194</t>
  </si>
  <si>
    <t>21302</t>
  </si>
  <si>
    <t>21457</t>
  </si>
  <si>
    <t>21535</t>
  </si>
  <si>
    <t>21033</t>
  </si>
  <si>
    <t>21124</t>
  </si>
  <si>
    <t>21245</t>
  </si>
  <si>
    <t>21355</t>
  </si>
  <si>
    <t>21462</t>
  </si>
  <si>
    <t>21390</t>
  </si>
  <si>
    <t>21055</t>
  </si>
  <si>
    <t>21185</t>
  </si>
  <si>
    <t>21315</t>
  </si>
  <si>
    <t>21451</t>
  </si>
  <si>
    <t>21527</t>
  </si>
  <si>
    <t>21202</t>
  </si>
  <si>
    <t>21258</t>
  </si>
  <si>
    <t>21340</t>
  </si>
  <si>
    <t>21510</t>
  </si>
  <si>
    <t>21558</t>
  </si>
  <si>
    <t>21237</t>
  </si>
  <si>
    <t>21238</t>
  </si>
  <si>
    <t>21327</t>
  </si>
  <si>
    <t>21412</t>
  </si>
  <si>
    <t>21432</t>
  </si>
  <si>
    <t>21100</t>
  </si>
  <si>
    <t>21206</t>
  </si>
  <si>
    <t>21310</t>
  </si>
  <si>
    <t>21453</t>
  </si>
  <si>
    <t>21040</t>
  </si>
  <si>
    <t>21181</t>
  </si>
  <si>
    <t>21290</t>
  </si>
  <si>
    <t>21425</t>
  </si>
  <si>
    <t>21504</t>
  </si>
  <si>
    <t>21091</t>
  </si>
  <si>
    <t>21151</t>
  </si>
  <si>
    <t>21272</t>
  </si>
  <si>
    <t>21385</t>
  </si>
  <si>
    <t>21498</t>
  </si>
  <si>
    <t>21005</t>
  </si>
  <si>
    <t>21107</t>
  </si>
  <si>
    <t>21216</t>
  </si>
  <si>
    <t>21350</t>
  </si>
  <si>
    <t>21477</t>
  </si>
  <si>
    <t>21087</t>
  </si>
  <si>
    <t>21147</t>
  </si>
  <si>
    <t>21267</t>
  </si>
  <si>
    <t>21381</t>
  </si>
  <si>
    <t>21494</t>
  </si>
  <si>
    <t>21114</t>
  </si>
  <si>
    <t>Cordova- Grace Celebration</t>
  </si>
  <si>
    <t>October 2023</t>
  </si>
  <si>
    <t>21122</t>
  </si>
  <si>
    <t>21294</t>
  </si>
  <si>
    <t>21433</t>
  </si>
  <si>
    <t>21548</t>
  </si>
  <si>
    <t>20985</t>
  </si>
  <si>
    <t>Crossett - St. John Lutheran C</t>
  </si>
  <si>
    <t>21075</t>
  </si>
  <si>
    <t>21203</t>
  </si>
  <si>
    <t>21300</t>
  </si>
  <si>
    <t>21058</t>
  </si>
  <si>
    <t>21116</t>
  </si>
  <si>
    <t>21246</t>
  </si>
  <si>
    <t>21317</t>
  </si>
  <si>
    <t>21473</t>
  </si>
  <si>
    <t>21080</t>
  </si>
  <si>
    <t>De Witt - St. Luke Lutheran Ch</t>
  </si>
  <si>
    <t>Jan, Feb &amp; Mar 2024</t>
  </si>
  <si>
    <t>21540</t>
  </si>
  <si>
    <t>April, May, June, July &amp; August  2024</t>
  </si>
  <si>
    <t>21104</t>
  </si>
  <si>
    <t>Elizabethton - Redeemer Luther</t>
  </si>
  <si>
    <t>January &amp; February 2024</t>
  </si>
  <si>
    <t>21231</t>
  </si>
  <si>
    <t>21313</t>
  </si>
  <si>
    <t>21408</t>
  </si>
  <si>
    <t>21038</t>
  </si>
  <si>
    <t>21135</t>
  </si>
  <si>
    <t>21284</t>
  </si>
  <si>
    <t>21392</t>
  </si>
  <si>
    <t>21525</t>
  </si>
  <si>
    <t>21076</t>
  </si>
  <si>
    <t>Fayetteville - St. John Luther</t>
  </si>
  <si>
    <t>21195</t>
  </si>
  <si>
    <t>21259</t>
  </si>
  <si>
    <t>21471</t>
  </si>
  <si>
    <t>21472</t>
  </si>
  <si>
    <t>21559</t>
  </si>
  <si>
    <t>21131</t>
  </si>
  <si>
    <t>21213</t>
  </si>
  <si>
    <t>21312</t>
  </si>
  <si>
    <t>21427</t>
  </si>
  <si>
    <t>21169</t>
  </si>
  <si>
    <t>Fort Smith - First Lutheran Ch</t>
  </si>
  <si>
    <t>21544</t>
  </si>
  <si>
    <t>April, May &amp; June 2024</t>
  </si>
  <si>
    <t>21118</t>
  </si>
  <si>
    <t>21242</t>
  </si>
  <si>
    <t>21281</t>
  </si>
  <si>
    <t>21374</t>
  </si>
  <si>
    <t>21488</t>
  </si>
  <si>
    <t>21039</t>
  </si>
  <si>
    <t>Nov and Dec 2023</t>
  </si>
  <si>
    <t>21166</t>
  </si>
  <si>
    <t>21409</t>
  </si>
  <si>
    <t>Feb, March &amp; April 2024</t>
  </si>
  <si>
    <t>21093</t>
  </si>
  <si>
    <t>Greenwood - Grace Lutheran Chu</t>
  </si>
  <si>
    <t>21219</t>
  </si>
  <si>
    <t>21486</t>
  </si>
  <si>
    <t>21557</t>
  </si>
  <si>
    <t>21295</t>
  </si>
  <si>
    <t>Harriman - Redeemer Lutheran C</t>
  </si>
  <si>
    <t>21050</t>
  </si>
  <si>
    <t>Harrison - First Lutheran Chur</t>
  </si>
  <si>
    <t>21437</t>
  </si>
  <si>
    <t>21070</t>
  </si>
  <si>
    <t>21218</t>
  </si>
  <si>
    <t>21255</t>
  </si>
  <si>
    <t>21426</t>
  </si>
  <si>
    <t>21500</t>
  </si>
  <si>
    <t>21121</t>
  </si>
  <si>
    <t>Hermitage - Emmanuel Lutheran</t>
  </si>
  <si>
    <t>January, February &amp; March 2024</t>
  </si>
  <si>
    <t>21514</t>
  </si>
  <si>
    <t>21190</t>
  </si>
  <si>
    <t>21276</t>
  </si>
  <si>
    <t>21387</t>
  </si>
  <si>
    <t>21184</t>
  </si>
  <si>
    <t>Hopkinsville - Faith Lutheran</t>
  </si>
  <si>
    <t>21047</t>
  </si>
  <si>
    <t>21252</t>
  </si>
  <si>
    <t>21343</t>
  </si>
  <si>
    <t>21347</t>
  </si>
  <si>
    <t>21461</t>
  </si>
  <si>
    <t>21042</t>
  </si>
  <si>
    <t>21132</t>
  </si>
  <si>
    <t>21215</t>
  </si>
  <si>
    <t>21351</t>
  </si>
  <si>
    <t>21511</t>
  </si>
  <si>
    <t>21016</t>
  </si>
  <si>
    <t>21162</t>
  </si>
  <si>
    <t>21254</t>
  </si>
  <si>
    <t>21507</t>
  </si>
  <si>
    <t>21508</t>
  </si>
  <si>
    <t>21059</t>
  </si>
  <si>
    <t>21200</t>
  </si>
  <si>
    <t>February &amp; March 2024</t>
  </si>
  <si>
    <t>21375</t>
  </si>
  <si>
    <t>21502</t>
  </si>
  <si>
    <t>21083</t>
  </si>
  <si>
    <t>21143</t>
  </si>
  <si>
    <t>21269</t>
  </si>
  <si>
    <t>21377</t>
  </si>
  <si>
    <t>21490</t>
  </si>
  <si>
    <t>21057</t>
  </si>
  <si>
    <t>Jonesboro - Pilgrim Lutheran C</t>
  </si>
  <si>
    <t>21240</t>
  </si>
  <si>
    <t>21455</t>
  </si>
  <si>
    <t>April &amp; May 2024</t>
  </si>
  <si>
    <t>21025</t>
  </si>
  <si>
    <t>21098</t>
  </si>
  <si>
    <t>21208</t>
  </si>
  <si>
    <t>21318</t>
  </si>
  <si>
    <t>21463</t>
  </si>
  <si>
    <t>21292</t>
  </si>
  <si>
    <t>Knoxville - Christus Victor Lu</t>
  </si>
  <si>
    <t>21024</t>
  </si>
  <si>
    <t>21217</t>
  </si>
  <si>
    <t>21341</t>
  </si>
  <si>
    <t>21413</t>
  </si>
  <si>
    <t>21467</t>
  </si>
  <si>
    <t>21158</t>
  </si>
  <si>
    <t>21221</t>
  </si>
  <si>
    <t>21344</t>
  </si>
  <si>
    <t>21476</t>
  </si>
  <si>
    <t>21074</t>
  </si>
  <si>
    <t>Lafe - St. John Lutheran Churc</t>
  </si>
  <si>
    <t>21330</t>
  </si>
  <si>
    <t>21056</t>
  </si>
  <si>
    <t>21174</t>
  </si>
  <si>
    <t>21257</t>
  </si>
  <si>
    <t>21419</t>
  </si>
  <si>
    <t>21513</t>
  </si>
  <si>
    <t>21106</t>
  </si>
  <si>
    <t>21236</t>
  </si>
  <si>
    <t>21372</t>
  </si>
  <si>
    <t>21487</t>
  </si>
  <si>
    <t>21140</t>
  </si>
  <si>
    <t>21262</t>
  </si>
  <si>
    <t>21358</t>
  </si>
  <si>
    <t>21536</t>
  </si>
  <si>
    <t>21159</t>
  </si>
  <si>
    <t>21161</t>
  </si>
  <si>
    <t>21283</t>
  </si>
  <si>
    <t>21370</t>
  </si>
  <si>
    <t>21526</t>
  </si>
  <si>
    <t>21092</t>
  </si>
  <si>
    <t>21152</t>
  </si>
  <si>
    <t>21265</t>
  </si>
  <si>
    <t>21386</t>
  </si>
  <si>
    <t>21499</t>
  </si>
  <si>
    <t>21044</t>
  </si>
  <si>
    <t>21244</t>
  </si>
  <si>
    <t>21331</t>
  </si>
  <si>
    <t>21339</t>
  </si>
  <si>
    <t>21478</t>
  </si>
  <si>
    <t>20983</t>
  </si>
  <si>
    <t>Lowell (Bethel Heights)- Living Savior</t>
  </si>
  <si>
    <t>Jan &amp; Feb 2024</t>
  </si>
  <si>
    <t>21199</t>
  </si>
  <si>
    <t>21436</t>
  </si>
  <si>
    <t>21081</t>
  </si>
  <si>
    <t>21193</t>
  </si>
  <si>
    <t>21332</t>
  </si>
  <si>
    <t>21438</t>
  </si>
  <si>
    <t>21628</t>
  </si>
  <si>
    <t>21085</t>
  </si>
  <si>
    <t>21145</t>
  </si>
  <si>
    <t>21271</t>
  </si>
  <si>
    <t>21379</t>
  </si>
  <si>
    <t>21492</t>
  </si>
  <si>
    <t>21020</t>
  </si>
  <si>
    <t>21197</t>
  </si>
  <si>
    <t>21301</t>
  </si>
  <si>
    <t>21369</t>
  </si>
  <si>
    <t>21512</t>
  </si>
  <si>
    <t>21102</t>
  </si>
  <si>
    <t>Maumelle - Shepherd Of Peace L</t>
  </si>
  <si>
    <t xml:space="preserve"> July &amp; August 2023</t>
  </si>
  <si>
    <t>21103</t>
  </si>
  <si>
    <t>Sep, Oct, Nov &amp; Dec 2023</t>
  </si>
  <si>
    <t>21189</t>
  </si>
  <si>
    <t>21422</t>
  </si>
  <si>
    <t>Mc Minnville - Shepherd Of Hil</t>
  </si>
  <si>
    <t>January thru June 2024</t>
  </si>
  <si>
    <t>21209</t>
  </si>
  <si>
    <t>21210</t>
  </si>
  <si>
    <t>21316</t>
  </si>
  <si>
    <t>21464</t>
  </si>
  <si>
    <t>21079</t>
  </si>
  <si>
    <t>Memphis - Cross Of Calvary Lut</t>
  </si>
  <si>
    <t>July, Aug &amp; Sept 2023</t>
  </si>
  <si>
    <t>21115</t>
  </si>
  <si>
    <t>October, November and December 2023</t>
  </si>
  <si>
    <t>21088</t>
  </si>
  <si>
    <t>21148</t>
  </si>
  <si>
    <t>21273</t>
  </si>
  <si>
    <t>21382</t>
  </si>
  <si>
    <t>21495</t>
  </si>
  <si>
    <t>21160</t>
  </si>
  <si>
    <t>Memphis - Messiah Lutheran Chu</t>
  </si>
  <si>
    <t>21205</t>
  </si>
  <si>
    <t>21309</t>
  </si>
  <si>
    <t>21454</t>
  </si>
  <si>
    <t>21555</t>
  </si>
  <si>
    <t>21167</t>
  </si>
  <si>
    <t>Memphis - Trinity Lutheran Chu</t>
  </si>
  <si>
    <t>21168</t>
  </si>
  <si>
    <t>21365</t>
  </si>
  <si>
    <t>21435</t>
  </si>
  <si>
    <t>21556</t>
  </si>
  <si>
    <t>21126</t>
  </si>
  <si>
    <t>21470</t>
  </si>
  <si>
    <t>21090</t>
  </si>
  <si>
    <t>21150</t>
  </si>
  <si>
    <t>21268</t>
  </si>
  <si>
    <t>21384</t>
  </si>
  <si>
    <t>21497</t>
  </si>
  <si>
    <t>21011</t>
  </si>
  <si>
    <t>21249</t>
  </si>
  <si>
    <t>21337</t>
  </si>
  <si>
    <t>21353</t>
  </si>
  <si>
    <t>21501</t>
  </si>
  <si>
    <t>21096</t>
  </si>
  <si>
    <t>21368</t>
  </si>
  <si>
    <t>Feb &amp; March 2024</t>
  </si>
  <si>
    <t>21466</t>
  </si>
  <si>
    <t>21120</t>
  </si>
  <si>
    <t>21235</t>
  </si>
  <si>
    <t>21346</t>
  </si>
  <si>
    <t>21469</t>
  </si>
  <si>
    <t>21019</t>
  </si>
  <si>
    <t>Murray - Immanuel Lutheran Chu</t>
  </si>
  <si>
    <t>21133</t>
  </si>
  <si>
    <t>21253</t>
  </si>
  <si>
    <t>21474</t>
  </si>
  <si>
    <t>21475</t>
  </si>
  <si>
    <t>21550</t>
  </si>
  <si>
    <t>21041</t>
  </si>
  <si>
    <t>21173</t>
  </si>
  <si>
    <t>21297</t>
  </si>
  <si>
    <t>21420</t>
  </si>
  <si>
    <t>21521</t>
  </si>
  <si>
    <t>21073</t>
  </si>
  <si>
    <t>Nashville - Concordia Lutheran</t>
  </si>
  <si>
    <t>21156</t>
  </si>
  <si>
    <t>21250</t>
  </si>
  <si>
    <t>21402</t>
  </si>
  <si>
    <t>21542</t>
  </si>
  <si>
    <t>21060</t>
  </si>
  <si>
    <t>21157</t>
  </si>
  <si>
    <t>21287</t>
  </si>
  <si>
    <t>21356</t>
  </si>
  <si>
    <t>21046</t>
  </si>
  <si>
    <t>21241</t>
  </si>
  <si>
    <t>21251</t>
  </si>
  <si>
    <t>3552</t>
  </si>
  <si>
    <t>To correct sales receipt posted to wrong congregation</t>
  </si>
  <si>
    <t>21342</t>
  </si>
  <si>
    <t>21348</t>
  </si>
  <si>
    <t>21460</t>
  </si>
  <si>
    <t>21086</t>
  </si>
  <si>
    <t>21146</t>
  </si>
  <si>
    <t>21270</t>
  </si>
  <si>
    <t>21380</t>
  </si>
  <si>
    <t>21493</t>
  </si>
  <si>
    <t>21314</t>
  </si>
  <si>
    <t>21534</t>
  </si>
  <si>
    <t>21084</t>
  </si>
  <si>
    <t>21144</t>
  </si>
  <si>
    <t>21266</t>
  </si>
  <si>
    <t>21378</t>
  </si>
  <si>
    <t>21491</t>
  </si>
  <si>
    <t>21095</t>
  </si>
  <si>
    <t>21220</t>
  </si>
  <si>
    <t>21345</t>
  </si>
  <si>
    <t>21465</t>
  </si>
  <si>
    <t>20984</t>
  </si>
  <si>
    <t>21099</t>
  </si>
  <si>
    <t>21207</t>
  </si>
  <si>
    <t>21308</t>
  </si>
  <si>
    <t>21468</t>
  </si>
  <si>
    <t>21117</t>
  </si>
  <si>
    <t>21212</t>
  </si>
  <si>
    <t>21326</t>
  </si>
  <si>
    <t>21357</t>
  </si>
  <si>
    <t>2024</t>
  </si>
  <si>
    <t>21452</t>
  </si>
  <si>
    <t>21089</t>
  </si>
  <si>
    <t>21149</t>
  </si>
  <si>
    <t>21274</t>
  </si>
  <si>
    <t>21383</t>
  </si>
  <si>
    <t>21496</t>
  </si>
  <si>
    <t>21018</t>
  </si>
  <si>
    <t>21172</t>
  </si>
  <si>
    <t>21349</t>
  </si>
  <si>
    <t>21506</t>
  </si>
  <si>
    <t>21054</t>
  </si>
  <si>
    <t>21180</t>
  </si>
  <si>
    <t>21303</t>
  </si>
  <si>
    <t>21456</t>
  </si>
  <si>
    <t>21543</t>
  </si>
  <si>
    <t>21153</t>
  </si>
  <si>
    <t>21299</t>
  </si>
  <si>
    <t>21418</t>
  </si>
  <si>
    <t>21524</t>
  </si>
  <si>
    <t>21105</t>
  </si>
  <si>
    <t>21198</t>
  </si>
  <si>
    <t>21391</t>
  </si>
  <si>
    <t>21458</t>
  </si>
  <si>
    <t>21182</t>
  </si>
  <si>
    <t>21183</t>
  </si>
  <si>
    <t>21260</t>
  </si>
  <si>
    <t>21366</t>
  </si>
  <si>
    <t>21077</t>
  </si>
  <si>
    <t>21248</t>
  </si>
  <si>
    <t>21320</t>
  </si>
  <si>
    <t>21509</t>
  </si>
  <si>
    <t>21001</t>
  </si>
  <si>
    <t>21128</t>
  </si>
  <si>
    <t>21214</t>
  </si>
  <si>
    <t>21328</t>
  </si>
  <si>
    <t>21459</t>
  </si>
  <si>
    <t>21097</t>
  </si>
  <si>
    <t>21288</t>
  </si>
  <si>
    <t>21319</t>
  </si>
  <si>
    <t>21424</t>
  </si>
  <si>
    <t>21554</t>
  </si>
  <si>
    <t>21130</t>
  </si>
  <si>
    <t>21119</t>
  </si>
  <si>
    <t>Springdale - Salem Lutheran Ch</t>
  </si>
  <si>
    <t>21247</t>
  </si>
  <si>
    <t>21434</t>
  </si>
  <si>
    <t>21551</t>
  </si>
  <si>
    <t>21072</t>
  </si>
  <si>
    <t>Stuttgart - St. John Lutheran</t>
  </si>
  <si>
    <t>21171</t>
  </si>
  <si>
    <t>21285</t>
  </si>
  <si>
    <t>21428</t>
  </si>
  <si>
    <t>21549</t>
  </si>
  <si>
    <t>21043</t>
  </si>
  <si>
    <t>21163</t>
  </si>
  <si>
    <t>21280</t>
  </si>
  <si>
    <t>21393</t>
  </si>
  <si>
    <t>21529</t>
  </si>
  <si>
    <t>21094</t>
  </si>
  <si>
    <t>21196</t>
  </si>
  <si>
    <t>21311</t>
  </si>
  <si>
    <t>21423</t>
  </si>
  <si>
    <t>21541</t>
  </si>
  <si>
    <t>21052</t>
  </si>
  <si>
    <t>21123</t>
  </si>
  <si>
    <t>21533</t>
  </si>
  <si>
    <t>Jan, Feb, Mar, April &amp; May 2024</t>
  </si>
  <si>
    <t>21051</t>
  </si>
  <si>
    <t>21165</t>
  </si>
  <si>
    <t>21296</t>
  </si>
  <si>
    <t>21421</t>
  </si>
  <si>
    <t>21528</t>
  </si>
  <si>
    <t>21026</t>
  </si>
  <si>
    <t>Waldenburg - Zion Lutheran Chu</t>
  </si>
  <si>
    <t>21329</t>
  </si>
  <si>
    <t>21164</t>
  </si>
  <si>
    <t>21282</t>
  </si>
  <si>
    <t>21401</t>
  </si>
  <si>
    <t>21523</t>
  </si>
  <si>
    <t>21048</t>
  </si>
  <si>
    <t>21289</t>
  </si>
  <si>
    <t>21338</t>
  </si>
  <si>
    <t>21354</t>
  </si>
  <si>
    <t>21530</t>
  </si>
  <si>
    <t>21765</t>
  </si>
  <si>
    <t>21810</t>
  </si>
  <si>
    <t>July 2024</t>
  </si>
  <si>
    <t>21804</t>
  </si>
  <si>
    <t>21773</t>
  </si>
  <si>
    <t>21819</t>
  </si>
  <si>
    <t>21829</t>
  </si>
  <si>
    <t>21704</t>
  </si>
  <si>
    <t>Add'l 2024 Contribution - Estate Gift</t>
  </si>
  <si>
    <t>21752</t>
  </si>
  <si>
    <t>21772</t>
  </si>
  <si>
    <t>Ora Rampenthal Estate Gift</t>
  </si>
  <si>
    <t>21808</t>
  </si>
  <si>
    <t>21821</t>
  </si>
  <si>
    <t>21787</t>
  </si>
  <si>
    <t>21790</t>
  </si>
  <si>
    <t>21812</t>
  </si>
  <si>
    <t>21789</t>
  </si>
  <si>
    <t>21830</t>
  </si>
  <si>
    <t>21742</t>
  </si>
  <si>
    <t>21800</t>
  </si>
  <si>
    <t>21782</t>
  </si>
  <si>
    <t>21737</t>
  </si>
  <si>
    <t>21778</t>
  </si>
  <si>
    <t>21743</t>
  </si>
  <si>
    <t>21831</t>
  </si>
  <si>
    <t>21753</t>
  </si>
  <si>
    <t>21833</t>
  </si>
  <si>
    <t>21793</t>
  </si>
  <si>
    <t>21749</t>
  </si>
  <si>
    <t>21832</t>
  </si>
  <si>
    <t>August 2024</t>
  </si>
  <si>
    <t>21759</t>
  </si>
  <si>
    <t>21825</t>
  </si>
  <si>
    <t>July, Aug &amp; Sept 2024</t>
  </si>
  <si>
    <t>21805</t>
  </si>
  <si>
    <t>21771</t>
  </si>
  <si>
    <t>21769</t>
  </si>
  <si>
    <t>21809</t>
  </si>
  <si>
    <t>21788</t>
  </si>
  <si>
    <t>21795</t>
  </si>
  <si>
    <t>21774</t>
  </si>
  <si>
    <t>21747</t>
  </si>
  <si>
    <t>21746</t>
  </si>
  <si>
    <t>Mission Commitment for 2024</t>
  </si>
  <si>
    <t>21755</t>
  </si>
  <si>
    <t>21786</t>
  </si>
  <si>
    <t>21758</t>
  </si>
  <si>
    <t>July, August &amp; September 2024</t>
  </si>
  <si>
    <t>21767</t>
  </si>
  <si>
    <t>21760</t>
  </si>
  <si>
    <t>21770</t>
  </si>
  <si>
    <t>21783</t>
  </si>
  <si>
    <t>21748</t>
  </si>
  <si>
    <t>21736</t>
  </si>
  <si>
    <t>July &amp; August 2024</t>
  </si>
  <si>
    <t>21837</t>
  </si>
  <si>
    <t>21776</t>
  </si>
  <si>
    <t>21806</t>
  </si>
  <si>
    <t>21811</t>
  </si>
  <si>
    <t>21813</t>
  </si>
  <si>
    <t>21820</t>
  </si>
  <si>
    <t>21751</t>
  </si>
  <si>
    <t>21824</t>
  </si>
  <si>
    <t>21779</t>
  </si>
  <si>
    <t>21757</t>
  </si>
  <si>
    <t>21781</t>
  </si>
  <si>
    <t>21797</t>
  </si>
  <si>
    <t>21740</t>
  </si>
  <si>
    <t>21766</t>
  </si>
  <si>
    <t>21785</t>
  </si>
  <si>
    <t>21814</t>
  </si>
  <si>
    <t>21750</t>
  </si>
  <si>
    <t>21803</t>
  </si>
  <si>
    <t>21796</t>
  </si>
  <si>
    <t>21768</t>
  </si>
  <si>
    <t>21777</t>
  </si>
  <si>
    <t>21744</t>
  </si>
  <si>
    <t>21792</t>
  </si>
  <si>
    <t>21775</t>
  </si>
  <si>
    <t>21754</t>
  </si>
  <si>
    <t>21828</t>
  </si>
  <si>
    <t>21738</t>
  </si>
  <si>
    <t>21836</t>
  </si>
  <si>
    <t>21762</t>
  </si>
  <si>
    <t>21780</t>
  </si>
  <si>
    <t>21764</t>
  </si>
  <si>
    <t>21794</t>
  </si>
  <si>
    <t>21763</t>
  </si>
  <si>
    <t>21745</t>
  </si>
  <si>
    <t>21815</t>
  </si>
  <si>
    <t>21741</t>
  </si>
  <si>
    <t>21835</t>
  </si>
  <si>
    <t>21826</t>
  </si>
  <si>
    <t>21739</t>
  </si>
  <si>
    <t>21827</t>
  </si>
  <si>
    <t>21822</t>
  </si>
  <si>
    <t>21798</t>
  </si>
  <si>
    <t>21834</t>
  </si>
  <si>
    <t>21802</t>
  </si>
  <si>
    <t>21761</t>
  </si>
  <si>
    <t>21807</t>
  </si>
  <si>
    <t>Athens - Athens Lutheran Churc Total</t>
  </si>
  <si>
    <t>Batesville - Hope Lutheran Chu Total</t>
  </si>
  <si>
    <t>Bella Vista - Bella Vista Luth Total</t>
  </si>
  <si>
    <t>Benton - First Lutheran Church Total</t>
  </si>
  <si>
    <t>Bowling Green - Holy Trinity L Total</t>
  </si>
  <si>
    <t>Chattanooga - First Lutheran C Total</t>
  </si>
  <si>
    <t>Chattanooga - Good Shepherd Lu Total</t>
  </si>
  <si>
    <t>Cherokee Village - Peace Luthe Total</t>
  </si>
  <si>
    <t>Collierville - Faith Lutheran Total</t>
  </si>
  <si>
    <t>Columbia - Trinity Lutheran Ch Total</t>
  </si>
  <si>
    <t>Conway - Peace Lutheran Church Total</t>
  </si>
  <si>
    <t>Conway - St. Matthew Lutheran Total</t>
  </si>
  <si>
    <t>Cookeville - Heavenly Host Lut Total</t>
  </si>
  <si>
    <t>Cordova- Grace Celebration Total</t>
  </si>
  <si>
    <t>Crossville - Shepherd Of The H Total</t>
  </si>
  <si>
    <t>Elizabethton - Redeemer Luther Total</t>
  </si>
  <si>
    <t>Fairfield Bay - Faith Lutheran Total</t>
  </si>
  <si>
    <t>Fayetteville - St. John Luther Total</t>
  </si>
  <si>
    <t>Greenwood - Grace Lutheran Chu Total</t>
  </si>
  <si>
    <t>Holiday Island - Grace Luthera Total</t>
  </si>
  <si>
    <t>Hot Springs - First Lutheran C Total</t>
  </si>
  <si>
    <t>Hot Springs Village - Faith Lu Total</t>
  </si>
  <si>
    <t>Jackson - Concordia Lutheran C Total</t>
  </si>
  <si>
    <t>Jacksonville - Hope Lutheran C Total</t>
  </si>
  <si>
    <t>Johnson City - Bethlehem Luthe Total</t>
  </si>
  <si>
    <t>Kingsport - Concordia Lutheran Total</t>
  </si>
  <si>
    <t>Knoxville - Grace Lutheran Chu Total</t>
  </si>
  <si>
    <t>Little Rock - Christ Lutheran Total</t>
  </si>
  <si>
    <t>Little Rock - Community of Faith Total</t>
  </si>
  <si>
    <t>Little Rock - First Lutheran C Total</t>
  </si>
  <si>
    <t>London - Zion Lutheran Church Total</t>
  </si>
  <si>
    <t>Loudon - Christ Our Savior Lut Total</t>
  </si>
  <si>
    <t>Lowell (Bethel Heights)- Living Savior Total</t>
  </si>
  <si>
    <t>Magnolia - Faith Lutheran Chur Total</t>
  </si>
  <si>
    <t>Maryville (Alcoa) Praise Luth Total</t>
  </si>
  <si>
    <t>Memphis - Christ The King Luth Total</t>
  </si>
  <si>
    <t>Memphis - Immanuel Lutheran Ch Total</t>
  </si>
  <si>
    <t>Memphis - Messiah Lutheran Chu Total</t>
  </si>
  <si>
    <t>Morristown - Our Savior Luther Total</t>
  </si>
  <si>
    <t>Mountain Home - Redeemer Total</t>
  </si>
  <si>
    <t>Munford - Redeeming Grace Total</t>
  </si>
  <si>
    <t>Murfreesboro - Grace Lutheran Total</t>
  </si>
  <si>
    <t>Murray - Immanuel Lutheran Chu Total</t>
  </si>
  <si>
    <t>N. Little Rock - Trinity Luthe Total</t>
  </si>
  <si>
    <t>Nashville - Concordia Lutheran Total</t>
  </si>
  <si>
    <t>Nashville - Our Savior Luthera Total</t>
  </si>
  <si>
    <t>Nashville - Redeemer Lutheran Total</t>
  </si>
  <si>
    <t>Oak Ridge - Faith Lutheran Chu Total</t>
  </si>
  <si>
    <t>Oakland - Holy Spirit Lutheran Church Total</t>
  </si>
  <si>
    <t>Olive Branch - Beautiful Savior Total</t>
  </si>
  <si>
    <t>Pea Ridge - Messiah Total</t>
  </si>
  <si>
    <t>Pine Bluff - Trinity Lutheran Total</t>
  </si>
  <si>
    <t>Russellville - St. John's Luth Total</t>
  </si>
  <si>
    <t>Sallisaw - Trinity Lutheran Church Total</t>
  </si>
  <si>
    <t>Sevierville - St. Paul Luther Total</t>
  </si>
  <si>
    <t>Seymour - Celebration Lutheran Total</t>
  </si>
  <si>
    <t>Smyrna - Hope Lutheran Church Total</t>
  </si>
  <si>
    <t>Springdale - Salem Lutheran Ch Total</t>
  </si>
  <si>
    <t>Stuttgart - St. John Lutheran Total</t>
  </si>
  <si>
    <t>Thompson's Station TN - Faith Total</t>
  </si>
  <si>
    <t>Tullahoma - Faith Lutheran Chu Total</t>
  </si>
  <si>
    <t>Union City - Faith Lutheran Ch Total</t>
  </si>
  <si>
    <t>White House - Prince of Peace Total</t>
  </si>
  <si>
    <t>Grand Total</t>
  </si>
  <si>
    <t>Alexander - Zion Lutheran Chur Total</t>
  </si>
  <si>
    <t>March  2024</t>
  </si>
  <si>
    <t>21719</t>
  </si>
  <si>
    <t>Burns - St. John Lutheran Chur Total</t>
  </si>
  <si>
    <t>Clarksville - Grace Lutheran C Total</t>
  </si>
  <si>
    <t>Fort Smith - Bethel Lutheran C Total</t>
  </si>
  <si>
    <t>Fort Smith - Our Redeemer Luth Total</t>
  </si>
  <si>
    <t>Gillett - St. Paul Lutheran Ch Total</t>
  </si>
  <si>
    <t>Hermitage - Emmanuel Lutheran Total</t>
  </si>
  <si>
    <t>Jonesboro - Pilgrim Lutheran C Total</t>
  </si>
  <si>
    <t>Little Rock - Grace Lutheran C Total</t>
  </si>
  <si>
    <t>Mena - Trinity Lutheran Church Total</t>
  </si>
  <si>
    <t>Rogers - Holy Trinity Lutheran Total</t>
  </si>
  <si>
    <t>Searcy - Our Shepherd Lutheran Total</t>
  </si>
  <si>
    <t>Wartburg - St. Paul Lutheran C Total</t>
  </si>
  <si>
    <t>Abingdon - Grace Lutheran Church (closed 2.2024)</t>
  </si>
  <si>
    <t>Congregational Financial Report as of August 2024</t>
  </si>
  <si>
    <t>21840</t>
  </si>
  <si>
    <t>21916</t>
  </si>
  <si>
    <t>21880</t>
  </si>
  <si>
    <t>21889</t>
  </si>
  <si>
    <t>21920</t>
  </si>
  <si>
    <t>21881</t>
  </si>
  <si>
    <t>21863</t>
  </si>
  <si>
    <t>June &amp; July 2024</t>
  </si>
  <si>
    <t>21923</t>
  </si>
  <si>
    <t>21874</t>
  </si>
  <si>
    <t>21909</t>
  </si>
  <si>
    <t>21882</t>
  </si>
  <si>
    <t>21870</t>
  </si>
  <si>
    <t>21927</t>
  </si>
  <si>
    <t>21900</t>
  </si>
  <si>
    <t>21898</t>
  </si>
  <si>
    <t>21848</t>
  </si>
  <si>
    <t>21894</t>
  </si>
  <si>
    <t>21932</t>
  </si>
  <si>
    <t>21862</t>
  </si>
  <si>
    <t>21922</t>
  </si>
  <si>
    <t>21910</t>
  </si>
  <si>
    <t>21929</t>
  </si>
  <si>
    <t>September 2024</t>
  </si>
  <si>
    <t>21846</t>
  </si>
  <si>
    <t>21917</t>
  </si>
  <si>
    <t>21921</t>
  </si>
  <si>
    <t>21850</t>
  </si>
  <si>
    <t>21872</t>
  </si>
  <si>
    <t>July, August and September 2024</t>
  </si>
  <si>
    <t>21885</t>
  </si>
  <si>
    <t>21868</t>
  </si>
  <si>
    <t>21869</t>
  </si>
  <si>
    <t>21878</t>
  </si>
  <si>
    <t>21907</t>
  </si>
  <si>
    <t>21890</t>
  </si>
  <si>
    <t>21852</t>
  </si>
  <si>
    <t>21843</t>
  </si>
  <si>
    <t>21873</t>
  </si>
  <si>
    <t>21915</t>
  </si>
  <si>
    <t>21849</t>
  </si>
  <si>
    <t>21884</t>
  </si>
  <si>
    <t>21879</t>
  </si>
  <si>
    <t>21906</t>
  </si>
  <si>
    <t>21899</t>
  </si>
  <si>
    <t>21865</t>
  </si>
  <si>
    <t>21930</t>
  </si>
  <si>
    <t>September and October 2024</t>
  </si>
  <si>
    <t>21892</t>
  </si>
  <si>
    <t>21901</t>
  </si>
  <si>
    <t>21928</t>
  </si>
  <si>
    <t>21895</t>
  </si>
  <si>
    <t>21864</t>
  </si>
  <si>
    <t>21838</t>
  </si>
  <si>
    <t>21897</t>
  </si>
  <si>
    <t>21871</t>
  </si>
  <si>
    <t>21844</t>
  </si>
  <si>
    <t>21847</t>
  </si>
  <si>
    <t>21841</t>
  </si>
  <si>
    <t>21905</t>
  </si>
  <si>
    <t>21877</t>
  </si>
  <si>
    <t>21875</t>
  </si>
  <si>
    <t>2024 Contribution</t>
  </si>
  <si>
    <t>21876</t>
  </si>
  <si>
    <t>Jan - July 2024 - Additional Contribution</t>
  </si>
  <si>
    <t>21867</t>
  </si>
  <si>
    <t>21893</t>
  </si>
  <si>
    <t>21842</t>
  </si>
  <si>
    <t>21891</t>
  </si>
  <si>
    <t>21896</t>
  </si>
  <si>
    <t>21839</t>
  </si>
  <si>
    <t>21925</t>
  </si>
  <si>
    <t>21926</t>
  </si>
  <si>
    <t>21908</t>
  </si>
  <si>
    <t>21851</t>
  </si>
  <si>
    <t>21887</t>
  </si>
  <si>
    <t>21888</t>
  </si>
  <si>
    <t>21931</t>
  </si>
  <si>
    <t>21845</t>
  </si>
  <si>
    <t>21933</t>
  </si>
  <si>
    <t>21924</t>
  </si>
  <si>
    <t>21914</t>
  </si>
  <si>
    <t>21903</t>
  </si>
  <si>
    <t>21919</t>
  </si>
  <si>
    <t>21918</t>
  </si>
  <si>
    <t>21883</t>
  </si>
  <si>
    <t>21904</t>
  </si>
  <si>
    <t>21866</t>
  </si>
  <si>
    <t>General Journal</t>
  </si>
  <si>
    <t>Jan - Aug 24</t>
  </si>
  <si>
    <t>enter last month YTD remittance</t>
  </si>
  <si>
    <t>Split</t>
  </si>
  <si>
    <t>120000 · Undeposited Funds</t>
  </si>
  <si>
    <t>21964</t>
  </si>
  <si>
    <t>Madison - Acension Lutheran 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</si>
</sst>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$$-409]#,##0.00;\-"/>
    <numFmt numFmtId="165" formatCode="[$$-409]#,###.00;[$$-409]#,###.00;0"/>
    <numFmt numFmtId="166" formatCode="[$$-409]#,##0.00"/>
    <numFmt numFmtId="167" formatCode="[$$-409]#,##0.00;[$$-409]#,##0.00"/>
    <numFmt numFmtId="168" formatCode="0.0%"/>
    <numFmt numFmtId="169" formatCode="&quot;$&quot;#,##0"/>
    <numFmt numFmtId="170" formatCode="_(* #,##0_);_(* \(#,##0\);_(* &quot;-&quot;??_);_(@_)"/>
    <numFmt numFmtId="171" formatCode="&quot;$&quot;#,##0.00"/>
    <numFmt numFmtId="172" formatCode="mm/dd/yyyy"/>
    <numFmt numFmtId="173" formatCode="#,##0.00;\-#,##0.00"/>
  </numFmts>
  <fonts count="3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name val="Arial"/>
      <family val="2"/>
    </font>
    <font>
      <b/>
      <sz val="11"/>
      <color indexed="8"/>
      <name val="Arial"/>
      <family val="2"/>
    </font>
    <font>
      <i/>
      <sz val="10"/>
      <color rgb="FFC00000"/>
      <name val="ARIAL"/>
      <family val="2"/>
    </font>
    <font>
      <i/>
      <sz val="8"/>
      <color rgb="FFC00000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top"/>
    </xf>
    <xf numFmtId="9" fontId="4" fillId="0" borderId="0" applyFont="0" applyFill="0" applyBorder="0" applyAlignment="0" applyProtection="0">
      <alignment vertical="top"/>
    </xf>
    <xf numFmtId="0" fontId="3" fillId="0" borderId="0"/>
    <xf numFmtId="0" fontId="26" fillId="0" borderId="0"/>
    <xf numFmtId="43" fontId="27" fillId="0" borderId="0" applyFont="0" applyFill="0" applyBorder="0" applyAlignment="0" applyProtection="0"/>
    <xf numFmtId="0" fontId="2" fillId="0" borderId="0"/>
    <xf numFmtId="0" fontId="28" fillId="0" borderId="0"/>
    <xf numFmtId="0" fontId="1" fillId="0" borderId="0"/>
    <xf numFmtId="0" fontId="29" fillId="0" borderId="0"/>
  </cellStyleXfs>
  <cellXfs count="157">
    <xf numFmtId="0" fontId="0" fillId="0" borderId="0" xfId="0">
      <alignment vertical="top"/>
    </xf>
    <xf numFmtId="0" fontId="0" fillId="0" borderId="0" xfId="0" applyAlignment="1"/>
    <xf numFmtId="0" fontId="21" fillId="2" borderId="0" xfId="0" applyFont="1" applyFill="1" applyProtection="1">
      <alignment vertical="top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22" fillId="2" borderId="0" xfId="0" applyFont="1" applyFill="1" applyAlignment="1">
      <alignment horizontal="left" vertical="top"/>
    </xf>
    <xf numFmtId="165" fontId="22" fillId="2" borderId="0" xfId="0" applyNumberFormat="1" applyFont="1" applyFill="1" applyAlignment="1" applyProtection="1">
      <alignment horizontal="right" vertical="top" wrapText="1"/>
      <protection locked="0"/>
    </xf>
    <xf numFmtId="166" fontId="22" fillId="2" borderId="0" xfId="0" applyNumberFormat="1" applyFont="1" applyFill="1" applyAlignment="1" applyProtection="1">
      <alignment horizontal="right" vertical="top" wrapText="1"/>
      <protection locked="0"/>
    </xf>
    <xf numFmtId="167" fontId="22" fillId="2" borderId="0" xfId="0" applyNumberFormat="1" applyFont="1" applyFill="1" applyAlignment="1" applyProtection="1">
      <alignment horizontal="right" vertical="top" wrapText="1"/>
      <protection locked="0"/>
    </xf>
    <xf numFmtId="168" fontId="22" fillId="2" borderId="0" xfId="1" applyNumberFormat="1" applyFont="1" applyFill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11" fillId="0" borderId="0" xfId="0" applyFont="1" applyProtection="1">
      <alignment vertical="top"/>
      <protection locked="0"/>
    </xf>
    <xf numFmtId="0" fontId="12" fillId="4" borderId="0" xfId="0" applyFont="1" applyFill="1" applyAlignment="1" applyProtection="1">
      <protection locked="0"/>
    </xf>
    <xf numFmtId="166" fontId="12" fillId="4" borderId="0" xfId="0" applyNumberFormat="1" applyFont="1" applyFill="1" applyAlignment="1" applyProtection="1">
      <protection locked="0"/>
    </xf>
    <xf numFmtId="0" fontId="0" fillId="0" borderId="0" xfId="0" applyProtection="1">
      <alignment vertical="top"/>
      <protection locked="0"/>
    </xf>
    <xf numFmtId="165" fontId="7" fillId="5" borderId="0" xfId="0" applyNumberFormat="1" applyFont="1" applyFill="1" applyProtection="1">
      <alignment vertical="top"/>
      <protection locked="0"/>
    </xf>
    <xf numFmtId="4" fontId="7" fillId="5" borderId="0" xfId="0" applyNumberFormat="1" applyFont="1" applyFill="1" applyProtection="1">
      <alignment vertical="top"/>
      <protection locked="0"/>
    </xf>
    <xf numFmtId="0" fontId="7" fillId="0" borderId="0" xfId="0" applyFont="1" applyProtection="1">
      <alignment vertical="top"/>
      <protection locked="0"/>
    </xf>
    <xf numFmtId="0" fontId="9" fillId="0" borderId="0" xfId="0" applyFont="1" applyProtection="1">
      <alignment vertical="top"/>
      <protection locked="0"/>
    </xf>
    <xf numFmtId="166" fontId="10" fillId="5" borderId="0" xfId="0" applyNumberFormat="1" applyFont="1" applyFill="1" applyAlignment="1" applyProtection="1">
      <protection locked="0"/>
    </xf>
    <xf numFmtId="0" fontId="0" fillId="0" borderId="1" xfId="0" applyBorder="1" applyProtection="1">
      <alignment vertical="top"/>
      <protection locked="0"/>
    </xf>
    <xf numFmtId="0" fontId="0" fillId="0" borderId="2" xfId="0" applyBorder="1" applyProtection="1">
      <alignment vertical="top"/>
      <protection locked="0"/>
    </xf>
    <xf numFmtId="0" fontId="0" fillId="0" borderId="4" xfId="0" applyBorder="1" applyProtection="1">
      <alignment vertical="top"/>
      <protection locked="0"/>
    </xf>
    <xf numFmtId="0" fontId="16" fillId="0" borderId="5" xfId="0" applyFont="1" applyBorder="1" applyAlignment="1" applyProtection="1">
      <alignment horizontal="right" vertical="top"/>
      <protection locked="0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right"/>
    </xf>
    <xf numFmtId="0" fontId="9" fillId="3" borderId="0" xfId="0" applyFont="1" applyFill="1" applyAlignment="1"/>
    <xf numFmtId="0" fontId="9" fillId="0" borderId="0" xfId="0" applyFont="1">
      <alignment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0" borderId="9" xfId="0" applyFont="1" applyBorder="1" applyAlignment="1">
      <alignment horizontal="center" vertical="top" wrapText="1"/>
    </xf>
    <xf numFmtId="0" fontId="0" fillId="0" borderId="8" xfId="0" applyBorder="1" applyAlignment="1"/>
    <xf numFmtId="169" fontId="8" fillId="0" borderId="0" xfId="0" applyNumberFormat="1" applyFont="1" applyAlignment="1">
      <alignment horizontal="right"/>
    </xf>
    <xf numFmtId="169" fontId="8" fillId="0" borderId="0" xfId="0" applyNumberFormat="1" applyFont="1" applyAlignment="1"/>
    <xf numFmtId="0" fontId="9" fillId="0" borderId="9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11" fillId="0" borderId="0" xfId="0" applyNumberFormat="1" applyFont="1" applyAlignment="1" applyProtection="1">
      <protection locked="0"/>
    </xf>
    <xf numFmtId="169" fontId="11" fillId="0" borderId="0" xfId="0" applyNumberFormat="1" applyFont="1" applyAlignment="1">
      <alignment horizontal="right"/>
    </xf>
    <xf numFmtId="3" fontId="11" fillId="0" borderId="9" xfId="0" applyNumberFormat="1" applyFont="1" applyBorder="1" applyAlignment="1" applyProtection="1">
      <protection locked="0"/>
    </xf>
    <xf numFmtId="169" fontId="11" fillId="0" borderId="9" xfId="0" applyNumberFormat="1" applyFont="1" applyBorder="1" applyAlignment="1">
      <alignment horizontal="right"/>
    </xf>
    <xf numFmtId="169" fontId="11" fillId="0" borderId="9" xfId="0" applyNumberFormat="1" applyFont="1" applyBorder="1" applyAlignment="1" applyProtection="1">
      <alignment horizontal="right" wrapText="1"/>
      <protection locked="0"/>
    </xf>
    <xf numFmtId="0" fontId="9" fillId="0" borderId="0" xfId="0" applyFont="1" applyAlignment="1">
      <alignment horizontal="left"/>
    </xf>
    <xf numFmtId="169" fontId="0" fillId="0" borderId="0" xfId="0" applyNumberFormat="1" applyAlignment="1"/>
    <xf numFmtId="0" fontId="11" fillId="0" borderId="0" xfId="0" applyFont="1" applyAlignment="1"/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right"/>
    </xf>
    <xf numFmtId="169" fontId="12" fillId="0" borderId="0" xfId="0" applyNumberFormat="1" applyFont="1" applyAlignment="1">
      <alignment horizontal="right"/>
    </xf>
    <xf numFmtId="169" fontId="12" fillId="0" borderId="0" xfId="0" applyNumberFormat="1" applyFont="1" applyAlignment="1"/>
    <xf numFmtId="1" fontId="11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left" vertical="top"/>
    </xf>
    <xf numFmtId="1" fontId="11" fillId="0" borderId="9" xfId="0" applyNumberFormat="1" applyFont="1" applyBorder="1" applyAlignment="1">
      <alignment horizontal="right" vertical="top"/>
    </xf>
    <xf numFmtId="0" fontId="20" fillId="0" borderId="0" xfId="0" applyFont="1" applyAlignment="1">
      <alignment horizontal="left" vertical="top"/>
    </xf>
    <xf numFmtId="3" fontId="20" fillId="0" borderId="0" xfId="0" applyNumberFormat="1" applyFont="1" applyAlignment="1">
      <alignment horizontal="right" vertical="top"/>
    </xf>
    <xf numFmtId="169" fontId="20" fillId="0" borderId="0" xfId="0" applyNumberFormat="1" applyFont="1" applyAlignment="1">
      <alignment horizontal="right" vertical="top"/>
    </xf>
    <xf numFmtId="41" fontId="11" fillId="0" borderId="0" xfId="0" applyNumberFormat="1" applyFont="1" applyAlignment="1" applyProtection="1">
      <alignment horizontal="right" wrapText="1"/>
      <protection locked="0"/>
    </xf>
    <xf numFmtId="41" fontId="11" fillId="0" borderId="0" xfId="0" applyNumberFormat="1" applyFont="1" applyAlignment="1">
      <alignment horizontal="right"/>
    </xf>
    <xf numFmtId="0" fontId="4" fillId="0" borderId="0" xfId="0" applyFont="1">
      <alignment vertical="top"/>
    </xf>
    <xf numFmtId="169" fontId="11" fillId="0" borderId="0" xfId="0" applyNumberFormat="1" applyFont="1" applyAlignment="1" applyProtection="1">
      <alignment horizontal="right" wrapText="1"/>
      <protection locked="0"/>
    </xf>
    <xf numFmtId="169" fontId="25" fillId="0" borderId="0" xfId="0" applyNumberFormat="1" applyFont="1" applyAlignment="1"/>
    <xf numFmtId="4" fontId="11" fillId="0" borderId="3" xfId="0" applyNumberFormat="1" applyFont="1" applyBorder="1" applyProtection="1">
      <alignment vertical="top"/>
      <protection locked="0"/>
    </xf>
    <xf numFmtId="1" fontId="0" fillId="0" borderId="0" xfId="0" applyNumberFormat="1">
      <alignment vertical="top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9" fillId="3" borderId="0" xfId="0" applyFont="1" applyFill="1">
      <alignment vertical="top"/>
    </xf>
    <xf numFmtId="1" fontId="4" fillId="0" borderId="0" xfId="0" applyNumberFormat="1" applyFont="1">
      <alignment vertical="top"/>
    </xf>
    <xf numFmtId="0" fontId="17" fillId="0" borderId="9" xfId="0" applyFont="1" applyBorder="1">
      <alignment vertical="top"/>
    </xf>
    <xf numFmtId="1" fontId="17" fillId="0" borderId="9" xfId="0" applyNumberFormat="1" applyFont="1" applyBorder="1" applyAlignment="1">
      <alignment horizontal="center" vertical="top" wrapText="1"/>
    </xf>
    <xf numFmtId="170" fontId="8" fillId="0" borderId="0" xfId="0" applyNumberFormat="1" applyFont="1" applyAlignment="1">
      <alignment horizontal="right"/>
    </xf>
    <xf numFmtId="9" fontId="8" fillId="0" borderId="0" xfId="1" applyFont="1" applyAlignment="1">
      <alignment horizontal="right"/>
    </xf>
    <xf numFmtId="0" fontId="9" fillId="0" borderId="9" xfId="0" applyFont="1" applyBorder="1">
      <alignment vertical="top"/>
    </xf>
    <xf numFmtId="169" fontId="11" fillId="0" borderId="0" xfId="0" applyNumberFormat="1" applyFont="1" applyAlignment="1" applyProtection="1">
      <alignment horizontal="right"/>
      <protection locked="0"/>
    </xf>
    <xf numFmtId="170" fontId="11" fillId="0" borderId="0" xfId="0" applyNumberFormat="1" applyFont="1" applyAlignment="1">
      <alignment horizontal="right"/>
    </xf>
    <xf numFmtId="9" fontId="11" fillId="0" borderId="0" xfId="1" applyFont="1" applyAlignment="1">
      <alignment horizontal="right" vertical="top"/>
    </xf>
    <xf numFmtId="169" fontId="11" fillId="0" borderId="0" xfId="0" applyNumberFormat="1" applyFont="1">
      <alignment vertical="top"/>
    </xf>
    <xf numFmtId="169" fontId="11" fillId="0" borderId="0" xfId="0" applyNumberFormat="1" applyFont="1" applyAlignment="1" applyProtection="1">
      <protection locked="0"/>
    </xf>
    <xf numFmtId="169" fontId="11" fillId="0" borderId="9" xfId="0" applyNumberFormat="1" applyFont="1" applyBorder="1" applyAlignment="1" applyProtection="1">
      <alignment horizontal="right"/>
      <protection locked="0"/>
    </xf>
    <xf numFmtId="170" fontId="11" fillId="0" borderId="9" xfId="0" applyNumberFormat="1" applyFont="1" applyBorder="1" applyAlignment="1">
      <alignment horizontal="right"/>
    </xf>
    <xf numFmtId="9" fontId="11" fillId="0" borderId="9" xfId="1" applyFont="1" applyBorder="1" applyAlignment="1">
      <alignment horizontal="right" vertical="top"/>
    </xf>
    <xf numFmtId="169" fontId="11" fillId="0" borderId="9" xfId="0" applyNumberFormat="1" applyFont="1" applyBorder="1">
      <alignment vertical="top"/>
    </xf>
    <xf numFmtId="9" fontId="8" fillId="0" borderId="0" xfId="1" applyFont="1" applyAlignment="1">
      <alignment horizontal="right" vertical="top"/>
    </xf>
    <xf numFmtId="171" fontId="8" fillId="0" borderId="0" xfId="0" applyNumberFormat="1" applyFont="1">
      <alignment vertical="top"/>
    </xf>
    <xf numFmtId="170" fontId="0" fillId="0" borderId="0" xfId="0" applyNumberFormat="1" applyAlignment="1"/>
    <xf numFmtId="9" fontId="0" fillId="0" borderId="0" xfId="0" applyNumberFormat="1">
      <alignment vertical="top"/>
    </xf>
    <xf numFmtId="171" fontId="0" fillId="0" borderId="0" xfId="0" applyNumberFormat="1">
      <alignment vertical="top"/>
    </xf>
    <xf numFmtId="1" fontId="11" fillId="0" borderId="0" xfId="0" applyNumberFormat="1" applyFont="1">
      <alignment vertical="top"/>
    </xf>
    <xf numFmtId="1" fontId="11" fillId="0" borderId="9" xfId="0" applyNumberFormat="1" applyFont="1" applyBorder="1">
      <alignment vertical="top"/>
    </xf>
    <xf numFmtId="170" fontId="12" fillId="0" borderId="0" xfId="0" applyNumberFormat="1" applyFont="1" applyAlignment="1">
      <alignment horizontal="right"/>
    </xf>
    <xf numFmtId="9" fontId="12" fillId="0" borderId="0" xfId="1" applyFont="1" applyAlignment="1">
      <alignment horizontal="right"/>
    </xf>
    <xf numFmtId="169" fontId="8" fillId="0" borderId="0" xfId="0" applyNumberFormat="1" applyFont="1">
      <alignment vertical="top"/>
    </xf>
    <xf numFmtId="169" fontId="0" fillId="0" borderId="0" xfId="0" applyNumberFormat="1">
      <alignment vertical="top"/>
    </xf>
    <xf numFmtId="169" fontId="11" fillId="0" borderId="9" xfId="0" applyNumberFormat="1" applyFont="1" applyBorder="1" applyAlignment="1" applyProtection="1">
      <protection locked="0"/>
    </xf>
    <xf numFmtId="169" fontId="11" fillId="0" borderId="0" xfId="0" applyNumberFormat="1" applyFont="1" applyAlignment="1"/>
    <xf numFmtId="9" fontId="0" fillId="0" borderId="0" xfId="1" applyFont="1" applyAlignment="1">
      <alignment vertical="top"/>
    </xf>
    <xf numFmtId="170" fontId="0" fillId="0" borderId="0" xfId="0" applyNumberFormat="1">
      <alignment vertical="top"/>
    </xf>
    <xf numFmtId="170" fontId="20" fillId="0" borderId="0" xfId="0" applyNumberFormat="1" applyFont="1" applyAlignment="1">
      <alignment horizontal="right"/>
    </xf>
    <xf numFmtId="9" fontId="20" fillId="0" borderId="0" xfId="1" applyFont="1" applyAlignment="1">
      <alignment horizontal="right" vertical="top"/>
    </xf>
    <xf numFmtId="169" fontId="20" fillId="0" borderId="0" xfId="0" applyNumberFormat="1" applyFont="1">
      <alignment vertical="top"/>
    </xf>
    <xf numFmtId="166" fontId="8" fillId="4" borderId="0" xfId="0" applyNumberFormat="1" applyFont="1" applyFill="1" applyAlignment="1" applyProtection="1">
      <protection locked="0"/>
    </xf>
    <xf numFmtId="170" fontId="6" fillId="0" borderId="6" xfId="0" applyNumberFormat="1" applyFont="1" applyBorder="1" applyProtection="1">
      <alignment vertical="top"/>
      <protection locked="0"/>
    </xf>
    <xf numFmtId="0" fontId="13" fillId="0" borderId="0" xfId="0" applyFont="1" applyAlignment="1" applyProtection="1">
      <protection locked="0"/>
    </xf>
    <xf numFmtId="0" fontId="16" fillId="0" borderId="7" xfId="0" applyFont="1" applyBorder="1" applyProtection="1">
      <alignment vertical="top"/>
      <protection locked="0"/>
    </xf>
    <xf numFmtId="49" fontId="23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3" fillId="0" borderId="0" xfId="0" applyNumberFormat="1" applyFont="1" applyAlignment="1"/>
    <xf numFmtId="173" fontId="24" fillId="0" borderId="0" xfId="0" applyNumberFormat="1" applyFont="1" applyAlignment="1"/>
    <xf numFmtId="173" fontId="23" fillId="0" borderId="13" xfId="0" applyNumberFormat="1" applyFont="1" applyBorder="1" applyAlignment="1"/>
    <xf numFmtId="0" fontId="23" fillId="0" borderId="0" xfId="0" applyFont="1" applyAlignment="1"/>
    <xf numFmtId="9" fontId="11" fillId="0" borderId="0" xfId="1" applyFont="1" applyBorder="1" applyAlignment="1">
      <alignment horizontal="right" vertical="top"/>
    </xf>
    <xf numFmtId="0" fontId="11" fillId="0" borderId="0" xfId="0" quotePrefix="1" applyFont="1" applyAlignment="1">
      <alignment horizontal="left" vertical="top"/>
    </xf>
    <xf numFmtId="4" fontId="7" fillId="0" borderId="0" xfId="0" applyNumberFormat="1" applyFont="1" applyProtection="1">
      <alignment vertical="top"/>
      <protection locked="0"/>
    </xf>
    <xf numFmtId="49" fontId="0" fillId="0" borderId="0" xfId="0" applyNumberFormat="1" applyAlignment="1">
      <alignment horizontal="center"/>
    </xf>
    <xf numFmtId="172" fontId="23" fillId="0" borderId="0" xfId="0" applyNumberFormat="1" applyFont="1" applyAlignment="1"/>
    <xf numFmtId="173" fontId="23" fillId="0" borderId="0" xfId="0" applyNumberFormat="1" applyFont="1" applyAlignment="1"/>
    <xf numFmtId="49" fontId="24" fillId="0" borderId="0" xfId="0" applyNumberFormat="1" applyFont="1" applyAlignment="1"/>
    <xf numFmtId="172" fontId="24" fillId="0" borderId="0" xfId="0" applyNumberFormat="1" applyFont="1" applyAlignment="1"/>
    <xf numFmtId="0" fontId="17" fillId="0" borderId="9" xfId="0" applyFont="1" applyBorder="1" applyAlignment="1">
      <alignment horizontal="right" vertical="top"/>
    </xf>
    <xf numFmtId="173" fontId="24" fillId="0" borderId="14" xfId="0" applyNumberFormat="1" applyFont="1" applyBorder="1" applyAlignment="1"/>
    <xf numFmtId="43" fontId="0" fillId="0" borderId="0" xfId="4" applyFont="1" applyAlignment="1">
      <alignment vertical="top"/>
    </xf>
    <xf numFmtId="1" fontId="22" fillId="2" borderId="0" xfId="0" applyNumberFormat="1" applyFont="1" applyFill="1" applyAlignment="1" applyProtection="1">
      <alignment horizontal="center" vertical="top" wrapText="1"/>
      <protection locked="0"/>
    </xf>
    <xf numFmtId="164" fontId="22" fillId="2" borderId="0" xfId="0" applyNumberFormat="1" applyFont="1" applyFill="1" applyAlignment="1" applyProtection="1">
      <alignment horizontal="center" vertical="top" wrapText="1"/>
      <protection locked="0"/>
    </xf>
    <xf numFmtId="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8" fontId="0" fillId="0" borderId="0" xfId="0" applyNumberFormat="1">
      <alignment vertical="top"/>
    </xf>
    <xf numFmtId="43" fontId="0" fillId="0" borderId="0" xfId="4" applyFont="1" applyAlignment="1"/>
    <xf numFmtId="49" fontId="23" fillId="0" borderId="0" xfId="0" applyNumberFormat="1" applyFont="1" applyAlignment="1">
      <alignment horizontal="center"/>
    </xf>
    <xf numFmtId="44" fontId="0" fillId="0" borderId="0" xfId="0" applyNumberFormat="1">
      <alignment vertical="top"/>
    </xf>
    <xf numFmtId="44" fontId="22" fillId="2" borderId="0" xfId="0" applyNumberFormat="1" applyFont="1" applyFill="1" applyAlignment="1" applyProtection="1">
      <alignment horizontal="right" vertical="top" wrapText="1"/>
      <protection locked="0"/>
    </xf>
    <xf numFmtId="44" fontId="10" fillId="0" borderId="0" xfId="0" applyNumberFormat="1" applyFont="1">
      <alignment vertical="top"/>
    </xf>
    <xf numFmtId="44" fontId="5" fillId="0" borderId="0" xfId="0" applyNumberFormat="1" applyFont="1" applyAlignment="1">
      <alignment horizontal="left" vertical="top"/>
    </xf>
    <xf numFmtId="44" fontId="6" fillId="0" borderId="0" xfId="0" applyNumberFormat="1" applyFont="1" applyAlignment="1">
      <alignment horizontal="left" vertical="top"/>
    </xf>
    <xf numFmtId="44" fontId="4" fillId="0" borderId="0" xfId="0" applyNumberFormat="1" applyFont="1">
      <alignment vertical="top"/>
    </xf>
    <xf numFmtId="44" fontId="4" fillId="0" borderId="0" xfId="0" applyNumberFormat="1" applyFont="1" applyAlignment="1">
      <alignment horizontal="center" vertical="top" wrapText="1"/>
    </xf>
    <xf numFmtId="44" fontId="17" fillId="0" borderId="9" xfId="0" applyNumberFormat="1" applyFont="1" applyBorder="1" applyAlignment="1">
      <alignment horizontal="center" vertical="top" wrapText="1"/>
    </xf>
    <xf numFmtId="44" fontId="8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44" fontId="11" fillId="0" borderId="9" xfId="0" applyNumberFormat="1" applyFont="1" applyBorder="1" applyAlignment="1">
      <alignment horizontal="right"/>
    </xf>
    <xf numFmtId="44" fontId="12" fillId="0" borderId="0" xfId="0" applyNumberFormat="1" applyFont="1" applyAlignment="1">
      <alignment horizontal="right"/>
    </xf>
    <xf numFmtId="44" fontId="0" fillId="0" borderId="0" xfId="0" applyNumberFormat="1" applyAlignment="1"/>
    <xf numFmtId="44" fontId="20" fillId="0" borderId="0" xfId="0" applyNumberFormat="1" applyFont="1" applyAlignment="1">
      <alignment horizontal="right" vertical="top"/>
    </xf>
    <xf numFmtId="44" fontId="8" fillId="4" borderId="0" xfId="0" applyNumberFormat="1" applyFont="1" applyFill="1" applyAlignment="1" applyProtection="1">
      <protection locked="0"/>
    </xf>
    <xf numFmtId="44" fontId="7" fillId="0" borderId="0" xfId="0" applyNumberFormat="1" applyFont="1" applyProtection="1">
      <alignment vertical="top"/>
      <protection locked="0"/>
    </xf>
    <xf numFmtId="44" fontId="7" fillId="5" borderId="0" xfId="0" applyNumberFormat="1" applyFont="1" applyFill="1" applyProtection="1">
      <alignment vertical="top"/>
      <protection locked="0"/>
    </xf>
    <xf numFmtId="44" fontId="0" fillId="0" borderId="11" xfId="4" applyNumberFormat="1" applyFont="1" applyBorder="1" applyAlignment="1">
      <alignment vertical="top"/>
    </xf>
    <xf numFmtId="44" fontId="0" fillId="0" borderId="0" xfId="4" applyNumberFormat="1" applyFont="1" applyAlignment="1"/>
    <xf numFmtId="44" fontId="0" fillId="0" borderId="0" xfId="4" applyNumberFormat="1" applyFont="1" applyAlignment="1">
      <alignment vertical="top"/>
    </xf>
    <xf numFmtId="43" fontId="0" fillId="0" borderId="0" xfId="4" applyFont="1" applyAlignment="1">
      <alignment horizontal="center"/>
    </xf>
    <xf numFmtId="4" fontId="30" fillId="0" borderId="3" xfId="0" applyNumberFormat="1" applyFont="1" applyBorder="1" applyProtection="1">
      <alignment vertical="top"/>
      <protection locked="0"/>
    </xf>
    <xf numFmtId="0" fontId="17" fillId="0" borderId="10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</cellXfs>
  <cellStyles count="9">
    <cellStyle name="Comma" xfId="4" builtinId="3"/>
    <cellStyle name="Normal" xfId="0" builtinId="0"/>
    <cellStyle name="Normal 2" xfId="3" xr:uid="{17B3EA28-B608-4321-AACD-7921307FDB37}"/>
    <cellStyle name="Normal 2 2" xfId="6" xr:uid="{916A153F-2A86-45F5-8B0C-8A4B227F2BEC}"/>
    <cellStyle name="Normal 2 3" xfId="8" xr:uid="{8160B4A9-3F32-4C25-93C4-747FCC9D5EF2}"/>
    <cellStyle name="Normal 3" xfId="2" xr:uid="{751081E8-535D-4F09-8FB8-31942DFE568B}"/>
    <cellStyle name="Normal 4" xfId="5" xr:uid="{D77CF238-0EBA-4862-BB71-CE4774115429}"/>
    <cellStyle name="Normal 5" xfId="7" xr:uid="{0D5F76CB-ABC5-47A6-8AC0-331E9DBF653E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9"/>
  <sheetViews>
    <sheetView tabSelected="1" topLeftCell="A92" zoomScale="110" zoomScaleNormal="110" workbookViewId="0">
      <selection activeCell="Q166" sqref="Q166"/>
    </sheetView>
  </sheetViews>
  <sheetFormatPr defaultRowHeight="16.5" customHeight="1" outlineLevelRow="2" x14ac:dyDescent="0.2"/>
  <cols>
    <col min="1" max="1" width="3" style="1" customWidth="1"/>
    <col min="2" max="2" width="34.140625" style="1" customWidth="1"/>
    <col min="3" max="4" width="2.28515625" style="1" customWidth="1"/>
    <col min="5" max="5" width="10.42578125" style="1" bestFit="1" customWidth="1"/>
    <col min="6" max="6" width="2.28515625" style="1" customWidth="1"/>
    <col min="7" max="7" width="8.7109375" style="1" bestFit="1" customWidth="1"/>
    <col min="8" max="8" width="2.28515625" style="1" customWidth="1"/>
    <col min="9" max="9" width="5.28515625" style="1" bestFit="1" customWidth="1"/>
    <col min="10" max="10" width="2.28515625" style="1" customWidth="1"/>
    <col min="11" max="11" width="35.7109375" style="1" customWidth="1"/>
    <col min="12" max="12" width="2.28515625" style="1" customWidth="1"/>
    <col min="13" max="13" width="28.7109375" style="1" bestFit="1" customWidth="1"/>
    <col min="14" max="14" width="2.28515625" style="1" customWidth="1"/>
    <col min="15" max="15" width="22.28515625" style="1" bestFit="1" customWidth="1"/>
    <col min="16" max="16" width="1.85546875" style="1" customWidth="1"/>
    <col min="17" max="16384" width="9.140625" style="1"/>
  </cols>
  <sheetData>
    <row r="1" spans="1:17" s="110" customFormat="1" ht="13.5" thickBot="1" x14ac:dyDescent="0.25">
      <c r="A1" s="118"/>
      <c r="B1" s="118"/>
      <c r="C1" s="118"/>
      <c r="D1" s="118"/>
      <c r="E1" s="109" t="s">
        <v>300</v>
      </c>
      <c r="F1" s="118"/>
      <c r="G1" s="109" t="s">
        <v>301</v>
      </c>
      <c r="H1" s="118"/>
      <c r="I1" s="109" t="s">
        <v>302</v>
      </c>
      <c r="J1" s="118"/>
      <c r="K1" s="109" t="s">
        <v>303</v>
      </c>
      <c r="L1" s="118"/>
      <c r="M1" s="109" t="s">
        <v>304</v>
      </c>
      <c r="N1" s="118"/>
      <c r="O1" s="109" t="s">
        <v>1213</v>
      </c>
      <c r="P1" s="118"/>
      <c r="Q1" s="109" t="s">
        <v>305</v>
      </c>
    </row>
    <row r="2" spans="1:17" ht="13.5" outlineLevel="1" thickTop="1" x14ac:dyDescent="0.2">
      <c r="A2" s="111"/>
      <c r="B2" s="111" t="s">
        <v>306</v>
      </c>
      <c r="C2" s="111"/>
      <c r="D2" s="111"/>
      <c r="E2" s="111"/>
      <c r="F2" s="111"/>
      <c r="G2" s="119"/>
      <c r="H2" s="111"/>
      <c r="I2" s="111"/>
      <c r="J2" s="111"/>
      <c r="K2" s="111"/>
      <c r="L2" s="111"/>
      <c r="M2" s="111"/>
      <c r="N2" s="111"/>
      <c r="O2" s="111"/>
      <c r="P2" s="111"/>
      <c r="Q2" s="120"/>
    </row>
    <row r="3" spans="1:17" ht="12.75" hidden="1" outlineLevel="2" x14ac:dyDescent="0.2">
      <c r="A3" s="121"/>
      <c r="B3" s="121"/>
      <c r="C3" s="121"/>
      <c r="D3" s="121"/>
      <c r="E3" s="121" t="s">
        <v>307</v>
      </c>
      <c r="F3" s="121"/>
      <c r="G3" s="122">
        <v>45505</v>
      </c>
      <c r="H3" s="121"/>
      <c r="I3" s="121" t="s">
        <v>1122</v>
      </c>
      <c r="J3" s="121"/>
      <c r="K3" s="121" t="s">
        <v>309</v>
      </c>
      <c r="L3" s="121"/>
      <c r="M3" s="121" t="s">
        <v>941</v>
      </c>
      <c r="N3" s="121"/>
      <c r="O3" s="121" t="s">
        <v>1214</v>
      </c>
      <c r="P3" s="121"/>
      <c r="Q3" s="112">
        <v>599.34</v>
      </c>
    </row>
    <row r="4" spans="1:17" ht="12.75" outlineLevel="1" collapsed="1" x14ac:dyDescent="0.2">
      <c r="A4" s="121"/>
      <c r="B4" s="121"/>
      <c r="C4" s="121"/>
      <c r="D4" s="121"/>
      <c r="E4" s="121"/>
      <c r="F4" s="121"/>
      <c r="G4" s="122"/>
      <c r="H4" s="121"/>
      <c r="I4" s="121"/>
      <c r="J4" s="121"/>
      <c r="K4" s="111" t="s">
        <v>1105</v>
      </c>
      <c r="L4" s="121"/>
      <c r="M4" s="121"/>
      <c r="N4" s="121"/>
      <c r="O4" s="121"/>
      <c r="P4" s="121"/>
      <c r="Q4" s="120">
        <f>SUBTOTAL(9,Q3:Q3)</f>
        <v>599.34</v>
      </c>
    </row>
    <row r="5" spans="1:17" ht="12.75" hidden="1" outlineLevel="2" x14ac:dyDescent="0.2">
      <c r="A5" s="121"/>
      <c r="B5" s="121"/>
      <c r="C5" s="121"/>
      <c r="D5" s="121"/>
      <c r="E5" s="121" t="s">
        <v>307</v>
      </c>
      <c r="F5" s="121"/>
      <c r="G5" s="122">
        <v>45526</v>
      </c>
      <c r="H5" s="121"/>
      <c r="I5" s="121" t="s">
        <v>1123</v>
      </c>
      <c r="J5" s="121"/>
      <c r="K5" s="121" t="s">
        <v>313</v>
      </c>
      <c r="L5" s="121"/>
      <c r="M5" s="121" t="s">
        <v>970</v>
      </c>
      <c r="N5" s="121"/>
      <c r="O5" s="121" t="s">
        <v>1214</v>
      </c>
      <c r="P5" s="121"/>
      <c r="Q5" s="112">
        <v>600</v>
      </c>
    </row>
    <row r="6" spans="1:17" ht="12.75" outlineLevel="1" collapsed="1" x14ac:dyDescent="0.2">
      <c r="A6" s="121"/>
      <c r="B6" s="121"/>
      <c r="C6" s="121"/>
      <c r="D6" s="121"/>
      <c r="E6" s="121"/>
      <c r="F6" s="121"/>
      <c r="G6" s="122"/>
      <c r="H6" s="121"/>
      <c r="I6" s="121"/>
      <c r="J6" s="121"/>
      <c r="K6" s="111" t="s">
        <v>1041</v>
      </c>
      <c r="L6" s="121"/>
      <c r="M6" s="121"/>
      <c r="N6" s="121"/>
      <c r="O6" s="121"/>
      <c r="P6" s="121"/>
      <c r="Q6" s="120">
        <f>SUBTOTAL(9,Q5:Q5)</f>
        <v>600</v>
      </c>
    </row>
    <row r="7" spans="1:17" ht="12.75" hidden="1" outlineLevel="2" x14ac:dyDescent="0.2">
      <c r="A7" s="121"/>
      <c r="B7" s="121"/>
      <c r="C7" s="121"/>
      <c r="D7" s="121"/>
      <c r="E7" s="121" t="s">
        <v>307</v>
      </c>
      <c r="F7" s="121"/>
      <c r="G7" s="122">
        <v>45517</v>
      </c>
      <c r="H7" s="121"/>
      <c r="I7" s="121" t="s">
        <v>1124</v>
      </c>
      <c r="J7" s="121"/>
      <c r="K7" s="121" t="s">
        <v>316</v>
      </c>
      <c r="L7" s="121"/>
      <c r="M7" s="121" t="s">
        <v>970</v>
      </c>
      <c r="N7" s="121"/>
      <c r="O7" s="121" t="s">
        <v>1214</v>
      </c>
      <c r="P7" s="121"/>
      <c r="Q7" s="112">
        <v>400</v>
      </c>
    </row>
    <row r="8" spans="1:17" ht="12.75" outlineLevel="1" collapsed="1" x14ac:dyDescent="0.2">
      <c r="A8" s="121"/>
      <c r="B8" s="121"/>
      <c r="C8" s="121"/>
      <c r="D8" s="121"/>
      <c r="E8" s="121"/>
      <c r="F8" s="121"/>
      <c r="G8" s="122"/>
      <c r="H8" s="121"/>
      <c r="I8" s="121"/>
      <c r="J8" s="121"/>
      <c r="K8" s="111" t="s">
        <v>1042</v>
      </c>
      <c r="L8" s="121"/>
      <c r="M8" s="121"/>
      <c r="N8" s="121"/>
      <c r="O8" s="121"/>
      <c r="P8" s="121"/>
      <c r="Q8" s="120">
        <f>SUBTOTAL(9,Q7:Q7)</f>
        <v>400</v>
      </c>
    </row>
    <row r="9" spans="1:17" ht="12.75" hidden="1" outlineLevel="2" x14ac:dyDescent="0.2">
      <c r="A9" s="121"/>
      <c r="B9" s="121"/>
      <c r="C9" s="121"/>
      <c r="D9" s="121"/>
      <c r="E9" s="121" t="s">
        <v>307</v>
      </c>
      <c r="F9" s="121"/>
      <c r="G9" s="122">
        <v>45519</v>
      </c>
      <c r="H9" s="121"/>
      <c r="I9" s="121" t="s">
        <v>1125</v>
      </c>
      <c r="J9" s="121"/>
      <c r="K9" s="121" t="s">
        <v>318</v>
      </c>
      <c r="L9" s="121"/>
      <c r="M9" s="121" t="s">
        <v>970</v>
      </c>
      <c r="N9" s="121"/>
      <c r="O9" s="121" t="s">
        <v>1214</v>
      </c>
      <c r="P9" s="121"/>
      <c r="Q9" s="112">
        <v>4166.67</v>
      </c>
    </row>
    <row r="10" spans="1:17" ht="12.75" outlineLevel="1" collapsed="1" x14ac:dyDescent="0.2">
      <c r="A10" s="121"/>
      <c r="B10" s="121"/>
      <c r="C10" s="121"/>
      <c r="D10" s="121"/>
      <c r="E10" s="121"/>
      <c r="F10" s="121"/>
      <c r="G10" s="122"/>
      <c r="H10" s="121"/>
      <c r="I10" s="121"/>
      <c r="J10" s="121"/>
      <c r="K10" s="111" t="s">
        <v>1043</v>
      </c>
      <c r="L10" s="121"/>
      <c r="M10" s="121"/>
      <c r="N10" s="121"/>
      <c r="O10" s="121"/>
      <c r="P10" s="121"/>
      <c r="Q10" s="120">
        <f>SUBTOTAL(9,Q9:Q9)</f>
        <v>4166.67</v>
      </c>
    </row>
    <row r="11" spans="1:17" ht="12.75" hidden="1" outlineLevel="2" x14ac:dyDescent="0.2">
      <c r="A11" s="121"/>
      <c r="B11" s="121"/>
      <c r="C11" s="121"/>
      <c r="D11" s="121"/>
      <c r="E11" s="121" t="s">
        <v>307</v>
      </c>
      <c r="F11" s="121"/>
      <c r="G11" s="122">
        <v>45532</v>
      </c>
      <c r="H11" s="121"/>
      <c r="I11" s="121" t="s">
        <v>1126</v>
      </c>
      <c r="J11" s="121"/>
      <c r="K11" s="121" t="s">
        <v>132</v>
      </c>
      <c r="L11" s="121"/>
      <c r="M11" s="121" t="s">
        <v>970</v>
      </c>
      <c r="N11" s="121"/>
      <c r="O11" s="121" t="s">
        <v>1214</v>
      </c>
      <c r="P11" s="121"/>
      <c r="Q11" s="112">
        <v>250</v>
      </c>
    </row>
    <row r="12" spans="1:17" ht="12.75" outlineLevel="1" collapsed="1" x14ac:dyDescent="0.2">
      <c r="A12" s="121"/>
      <c r="B12" s="121"/>
      <c r="C12" s="121"/>
      <c r="D12" s="121"/>
      <c r="E12" s="121"/>
      <c r="F12" s="121"/>
      <c r="G12" s="122"/>
      <c r="H12" s="121"/>
      <c r="I12" s="121"/>
      <c r="J12" s="121"/>
      <c r="K12" s="111" t="s">
        <v>1044</v>
      </c>
      <c r="L12" s="121"/>
      <c r="M12" s="121"/>
      <c r="N12" s="121"/>
      <c r="O12" s="121"/>
      <c r="P12" s="121"/>
      <c r="Q12" s="120">
        <f>SUBTOTAL(9,Q11:Q11)</f>
        <v>250</v>
      </c>
    </row>
    <row r="13" spans="1:17" ht="12.75" hidden="1" outlineLevel="2" x14ac:dyDescent="0.2">
      <c r="A13" s="121"/>
      <c r="B13" s="121"/>
      <c r="C13" s="121"/>
      <c r="D13" s="121"/>
      <c r="E13" s="121" t="s">
        <v>307</v>
      </c>
      <c r="F13" s="121"/>
      <c r="G13" s="122">
        <v>45517</v>
      </c>
      <c r="H13" s="121"/>
      <c r="I13" s="121" t="s">
        <v>1127</v>
      </c>
      <c r="J13" s="121"/>
      <c r="K13" s="121" t="s">
        <v>325</v>
      </c>
      <c r="L13" s="121"/>
      <c r="M13" s="121" t="s">
        <v>970</v>
      </c>
      <c r="N13" s="121"/>
      <c r="O13" s="121" t="s">
        <v>1214</v>
      </c>
      <c r="P13" s="121"/>
      <c r="Q13" s="112">
        <v>3000</v>
      </c>
    </row>
    <row r="14" spans="1:17" ht="12.75" outlineLevel="1" collapsed="1" x14ac:dyDescent="0.2">
      <c r="A14" s="121"/>
      <c r="B14" s="121"/>
      <c r="C14" s="121"/>
      <c r="D14" s="121"/>
      <c r="E14" s="121"/>
      <c r="F14" s="121"/>
      <c r="G14" s="122"/>
      <c r="H14" s="121"/>
      <c r="I14" s="121"/>
      <c r="J14" s="121"/>
      <c r="K14" s="111" t="s">
        <v>1045</v>
      </c>
      <c r="L14" s="121"/>
      <c r="M14" s="121"/>
      <c r="N14" s="121"/>
      <c r="O14" s="121"/>
      <c r="P14" s="121"/>
      <c r="Q14" s="120">
        <f>SUBTOTAL(9,Q13:Q13)</f>
        <v>3000</v>
      </c>
    </row>
    <row r="15" spans="1:17" ht="12.75" hidden="1" outlineLevel="2" x14ac:dyDescent="0.2">
      <c r="A15" s="121"/>
      <c r="B15" s="121"/>
      <c r="C15" s="121"/>
      <c r="D15" s="121"/>
      <c r="E15" s="121" t="s">
        <v>307</v>
      </c>
      <c r="F15" s="121"/>
      <c r="G15" s="122">
        <v>45511</v>
      </c>
      <c r="H15" s="121"/>
      <c r="I15" s="121" t="s">
        <v>1128</v>
      </c>
      <c r="J15" s="121"/>
      <c r="K15" s="121" t="s">
        <v>504</v>
      </c>
      <c r="L15" s="121"/>
      <c r="M15" s="121" t="s">
        <v>1129</v>
      </c>
      <c r="N15" s="121"/>
      <c r="O15" s="121" t="s">
        <v>1214</v>
      </c>
      <c r="P15" s="121"/>
      <c r="Q15" s="112">
        <v>4416.68</v>
      </c>
    </row>
    <row r="16" spans="1:17" ht="12.75" outlineLevel="1" collapsed="1" x14ac:dyDescent="0.2">
      <c r="A16" s="121"/>
      <c r="B16" s="121"/>
      <c r="C16" s="121"/>
      <c r="D16" s="121"/>
      <c r="E16" s="121"/>
      <c r="F16" s="121"/>
      <c r="G16" s="122"/>
      <c r="H16" s="121"/>
      <c r="I16" s="121"/>
      <c r="J16" s="121"/>
      <c r="K16" s="111" t="s">
        <v>1108</v>
      </c>
      <c r="L16" s="121"/>
      <c r="M16" s="121"/>
      <c r="N16" s="121"/>
      <c r="O16" s="121"/>
      <c r="P16" s="121"/>
      <c r="Q16" s="120">
        <f>SUBTOTAL(9,Q15:Q15)</f>
        <v>4416.68</v>
      </c>
    </row>
    <row r="17" spans="1:17" ht="12.75" hidden="1" outlineLevel="2" x14ac:dyDescent="0.2">
      <c r="A17" s="121"/>
      <c r="B17" s="121"/>
      <c r="C17" s="121"/>
      <c r="D17" s="121"/>
      <c r="E17" s="121" t="s">
        <v>307</v>
      </c>
      <c r="F17" s="121"/>
      <c r="G17" s="122">
        <v>45532</v>
      </c>
      <c r="H17" s="121"/>
      <c r="I17" s="121" t="s">
        <v>1130</v>
      </c>
      <c r="J17" s="121"/>
      <c r="K17" s="121" t="s">
        <v>332</v>
      </c>
      <c r="L17" s="121"/>
      <c r="M17" s="121" t="s">
        <v>970</v>
      </c>
      <c r="N17" s="121"/>
      <c r="O17" s="121" t="s">
        <v>1214</v>
      </c>
      <c r="P17" s="121"/>
      <c r="Q17" s="112">
        <v>2916.67</v>
      </c>
    </row>
    <row r="18" spans="1:17" ht="12.75" outlineLevel="1" collapsed="1" x14ac:dyDescent="0.2">
      <c r="A18" s="121"/>
      <c r="B18" s="121"/>
      <c r="C18" s="121"/>
      <c r="D18" s="121"/>
      <c r="E18" s="121"/>
      <c r="F18" s="121"/>
      <c r="G18" s="122"/>
      <c r="H18" s="121"/>
      <c r="I18" s="121"/>
      <c r="J18" s="121"/>
      <c r="K18" s="111" t="s">
        <v>1046</v>
      </c>
      <c r="L18" s="121"/>
      <c r="M18" s="121"/>
      <c r="N18" s="121"/>
      <c r="O18" s="121"/>
      <c r="P18" s="121"/>
      <c r="Q18" s="120">
        <f>SUBTOTAL(9,Q17:Q17)</f>
        <v>2916.67</v>
      </c>
    </row>
    <row r="19" spans="1:17" ht="12.75" hidden="1" outlineLevel="2" x14ac:dyDescent="0.2">
      <c r="A19" s="121"/>
      <c r="B19" s="121"/>
      <c r="C19" s="121"/>
      <c r="D19" s="121"/>
      <c r="E19" s="121" t="s">
        <v>307</v>
      </c>
      <c r="F19" s="121"/>
      <c r="G19" s="122">
        <v>45513</v>
      </c>
      <c r="H19" s="121"/>
      <c r="I19" s="121" t="s">
        <v>1131</v>
      </c>
      <c r="J19" s="121"/>
      <c r="K19" s="121" t="s">
        <v>334</v>
      </c>
      <c r="L19" s="121"/>
      <c r="M19" s="121" t="s">
        <v>970</v>
      </c>
      <c r="N19" s="121"/>
      <c r="O19" s="121" t="s">
        <v>1214</v>
      </c>
      <c r="P19" s="121"/>
      <c r="Q19" s="112">
        <v>416.67</v>
      </c>
    </row>
    <row r="20" spans="1:17" ht="12.75" outlineLevel="1" collapsed="1" x14ac:dyDescent="0.2">
      <c r="A20" s="121"/>
      <c r="B20" s="121"/>
      <c r="C20" s="121"/>
      <c r="D20" s="121"/>
      <c r="E20" s="121"/>
      <c r="F20" s="121"/>
      <c r="G20" s="122"/>
      <c r="H20" s="121"/>
      <c r="I20" s="121"/>
      <c r="J20" s="121"/>
      <c r="K20" s="111" t="s">
        <v>1047</v>
      </c>
      <c r="L20" s="121"/>
      <c r="M20" s="121"/>
      <c r="N20" s="121"/>
      <c r="O20" s="121"/>
      <c r="P20" s="121"/>
      <c r="Q20" s="120">
        <f>SUBTOTAL(9,Q19:Q19)</f>
        <v>416.67</v>
      </c>
    </row>
    <row r="21" spans="1:17" ht="12.75" hidden="1" outlineLevel="2" x14ac:dyDescent="0.2">
      <c r="A21" s="121"/>
      <c r="B21" s="121"/>
      <c r="C21" s="121"/>
      <c r="D21" s="121"/>
      <c r="E21" s="121" t="s">
        <v>307</v>
      </c>
      <c r="F21" s="121"/>
      <c r="G21" s="122">
        <v>45523</v>
      </c>
      <c r="H21" s="121"/>
      <c r="I21" s="121" t="s">
        <v>1132</v>
      </c>
      <c r="J21" s="121"/>
      <c r="K21" s="121" t="s">
        <v>336</v>
      </c>
      <c r="L21" s="121"/>
      <c r="M21" s="121" t="s">
        <v>970</v>
      </c>
      <c r="N21" s="121"/>
      <c r="O21" s="121" t="s">
        <v>1214</v>
      </c>
      <c r="P21" s="121"/>
      <c r="Q21" s="112">
        <v>333.33</v>
      </c>
    </row>
    <row r="22" spans="1:17" ht="12.75" outlineLevel="1" collapsed="1" x14ac:dyDescent="0.2">
      <c r="A22" s="121"/>
      <c r="B22" s="121"/>
      <c r="C22" s="121"/>
      <c r="D22" s="121"/>
      <c r="E22" s="121"/>
      <c r="F22" s="121"/>
      <c r="G22" s="122"/>
      <c r="H22" s="121"/>
      <c r="I22" s="121"/>
      <c r="J22" s="121"/>
      <c r="K22" s="111" t="s">
        <v>1048</v>
      </c>
      <c r="L22" s="121"/>
      <c r="M22" s="121"/>
      <c r="N22" s="121"/>
      <c r="O22" s="121"/>
      <c r="P22" s="121"/>
      <c r="Q22" s="120">
        <f>SUBTOTAL(9,Q21:Q21)</f>
        <v>333.33</v>
      </c>
    </row>
    <row r="23" spans="1:17" ht="12.75" hidden="1" outlineLevel="2" x14ac:dyDescent="0.2">
      <c r="A23" s="121"/>
      <c r="B23" s="121"/>
      <c r="C23" s="121"/>
      <c r="D23" s="121"/>
      <c r="E23" s="121" t="s">
        <v>307</v>
      </c>
      <c r="F23" s="121"/>
      <c r="G23" s="122">
        <v>45517</v>
      </c>
      <c r="H23" s="121"/>
      <c r="I23" s="121" t="s">
        <v>1133</v>
      </c>
      <c r="J23" s="121"/>
      <c r="K23" s="121" t="s">
        <v>338</v>
      </c>
      <c r="L23" s="121"/>
      <c r="M23" s="121" t="s">
        <v>941</v>
      </c>
      <c r="N23" s="121"/>
      <c r="O23" s="121" t="s">
        <v>1214</v>
      </c>
      <c r="P23" s="121"/>
      <c r="Q23" s="112">
        <v>4200</v>
      </c>
    </row>
    <row r="24" spans="1:17" ht="12.75" outlineLevel="1" collapsed="1" x14ac:dyDescent="0.2">
      <c r="A24" s="121"/>
      <c r="B24" s="121"/>
      <c r="C24" s="121"/>
      <c r="D24" s="121"/>
      <c r="E24" s="121"/>
      <c r="F24" s="121"/>
      <c r="G24" s="122"/>
      <c r="H24" s="121"/>
      <c r="I24" s="121"/>
      <c r="J24" s="121"/>
      <c r="K24" s="111" t="s">
        <v>1109</v>
      </c>
      <c r="L24" s="121"/>
      <c r="M24" s="121"/>
      <c r="N24" s="121"/>
      <c r="O24" s="121"/>
      <c r="P24" s="121"/>
      <c r="Q24" s="120">
        <f>SUBTOTAL(9,Q23:Q23)</f>
        <v>4200</v>
      </c>
    </row>
    <row r="25" spans="1:17" ht="12.75" hidden="1" outlineLevel="2" x14ac:dyDescent="0.2">
      <c r="A25" s="121"/>
      <c r="B25" s="121"/>
      <c r="C25" s="121"/>
      <c r="D25" s="121"/>
      <c r="E25" s="121" t="s">
        <v>307</v>
      </c>
      <c r="F25" s="121"/>
      <c r="G25" s="122">
        <v>45512</v>
      </c>
      <c r="H25" s="121"/>
      <c r="I25" s="121" t="s">
        <v>1134</v>
      </c>
      <c r="J25" s="121"/>
      <c r="K25" s="121" t="s">
        <v>342</v>
      </c>
      <c r="L25" s="121"/>
      <c r="M25" s="121" t="s">
        <v>941</v>
      </c>
      <c r="N25" s="121"/>
      <c r="O25" s="121" t="s">
        <v>1214</v>
      </c>
      <c r="P25" s="121"/>
      <c r="Q25" s="112">
        <v>5333</v>
      </c>
    </row>
    <row r="26" spans="1:17" ht="12.75" hidden="1" outlineLevel="2" x14ac:dyDescent="0.2">
      <c r="A26" s="121"/>
      <c r="B26" s="121"/>
      <c r="C26" s="121"/>
      <c r="D26" s="121"/>
      <c r="E26" s="121" t="s">
        <v>307</v>
      </c>
      <c r="F26" s="121"/>
      <c r="G26" s="122">
        <v>45533</v>
      </c>
      <c r="H26" s="121"/>
      <c r="I26" s="121" t="s">
        <v>1135</v>
      </c>
      <c r="J26" s="121"/>
      <c r="K26" s="121" t="s">
        <v>342</v>
      </c>
      <c r="L26" s="121"/>
      <c r="M26" s="121" t="s">
        <v>970</v>
      </c>
      <c r="N26" s="121"/>
      <c r="O26" s="121" t="s">
        <v>1214</v>
      </c>
      <c r="P26" s="121"/>
      <c r="Q26" s="112">
        <v>5333</v>
      </c>
    </row>
    <row r="27" spans="1:17" ht="12.75" outlineLevel="1" collapsed="1" x14ac:dyDescent="0.2">
      <c r="A27" s="121"/>
      <c r="B27" s="121"/>
      <c r="C27" s="121"/>
      <c r="D27" s="121"/>
      <c r="E27" s="121"/>
      <c r="F27" s="121"/>
      <c r="G27" s="122"/>
      <c r="H27" s="121"/>
      <c r="I27" s="121"/>
      <c r="J27" s="121"/>
      <c r="K27" s="111" t="s">
        <v>1049</v>
      </c>
      <c r="L27" s="121"/>
      <c r="M27" s="121"/>
      <c r="N27" s="121"/>
      <c r="O27" s="121"/>
      <c r="P27" s="121"/>
      <c r="Q27" s="120">
        <f>SUBTOTAL(9,Q25:Q26)</f>
        <v>10666</v>
      </c>
    </row>
    <row r="28" spans="1:17" ht="12.75" hidden="1" outlineLevel="2" x14ac:dyDescent="0.2">
      <c r="A28" s="121"/>
      <c r="B28" s="121"/>
      <c r="C28" s="121"/>
      <c r="D28" s="121"/>
      <c r="E28" s="121" t="s">
        <v>307</v>
      </c>
      <c r="F28" s="121"/>
      <c r="G28" s="122">
        <v>45519</v>
      </c>
      <c r="H28" s="121"/>
      <c r="I28" s="121" t="s">
        <v>1136</v>
      </c>
      <c r="J28" s="121"/>
      <c r="K28" s="121" t="s">
        <v>344</v>
      </c>
      <c r="L28" s="121"/>
      <c r="M28" s="121" t="s">
        <v>970</v>
      </c>
      <c r="N28" s="121"/>
      <c r="O28" s="121" t="s">
        <v>1214</v>
      </c>
      <c r="P28" s="121"/>
      <c r="Q28" s="112">
        <v>416.67</v>
      </c>
    </row>
    <row r="29" spans="1:17" ht="12.75" outlineLevel="1" collapsed="1" x14ac:dyDescent="0.2">
      <c r="A29" s="121"/>
      <c r="B29" s="121"/>
      <c r="C29" s="121"/>
      <c r="D29" s="121"/>
      <c r="E29" s="121"/>
      <c r="F29" s="121"/>
      <c r="G29" s="122"/>
      <c r="H29" s="121"/>
      <c r="I29" s="121"/>
      <c r="J29" s="121"/>
      <c r="K29" s="111" t="s">
        <v>1050</v>
      </c>
      <c r="L29" s="121"/>
      <c r="M29" s="121"/>
      <c r="N29" s="121"/>
      <c r="O29" s="121"/>
      <c r="P29" s="121"/>
      <c r="Q29" s="120">
        <f>SUBTOTAL(9,Q28:Q28)</f>
        <v>416.67</v>
      </c>
    </row>
    <row r="30" spans="1:17" ht="12.75" hidden="1" outlineLevel="2" x14ac:dyDescent="0.2">
      <c r="A30" s="121"/>
      <c r="B30" s="121"/>
      <c r="C30" s="121"/>
      <c r="D30" s="121"/>
      <c r="E30" s="121" t="s">
        <v>307</v>
      </c>
      <c r="F30" s="121"/>
      <c r="G30" s="122">
        <v>45519</v>
      </c>
      <c r="H30" s="121"/>
      <c r="I30" s="121" t="s">
        <v>1137</v>
      </c>
      <c r="J30" s="121"/>
      <c r="K30" s="121" t="s">
        <v>108</v>
      </c>
      <c r="L30" s="121"/>
      <c r="M30" s="121" t="s">
        <v>970</v>
      </c>
      <c r="N30" s="121"/>
      <c r="O30" s="121" t="s">
        <v>1214</v>
      </c>
      <c r="P30" s="121"/>
      <c r="Q30" s="112">
        <v>1600</v>
      </c>
    </row>
    <row r="31" spans="1:17" ht="12.75" outlineLevel="1" collapsed="1" x14ac:dyDescent="0.2">
      <c r="A31" s="121"/>
      <c r="B31" s="121"/>
      <c r="C31" s="121"/>
      <c r="D31" s="121"/>
      <c r="E31" s="121"/>
      <c r="F31" s="121"/>
      <c r="G31" s="122"/>
      <c r="H31" s="121"/>
      <c r="I31" s="121"/>
      <c r="J31" s="121"/>
      <c r="K31" s="111" t="s">
        <v>1051</v>
      </c>
      <c r="L31" s="121"/>
      <c r="M31" s="121"/>
      <c r="N31" s="121"/>
      <c r="O31" s="121"/>
      <c r="P31" s="121"/>
      <c r="Q31" s="120">
        <f>SUBTOTAL(9,Q30:Q30)</f>
        <v>1600</v>
      </c>
    </row>
    <row r="32" spans="1:17" ht="12.75" hidden="1" outlineLevel="2" x14ac:dyDescent="0.2">
      <c r="A32" s="121"/>
      <c r="B32" s="121"/>
      <c r="C32" s="121"/>
      <c r="D32" s="121"/>
      <c r="E32" s="121" t="s">
        <v>307</v>
      </c>
      <c r="F32" s="121"/>
      <c r="G32" s="122">
        <v>45510</v>
      </c>
      <c r="H32" s="121"/>
      <c r="I32" s="121" t="s">
        <v>1138</v>
      </c>
      <c r="J32" s="121"/>
      <c r="K32" s="121" t="s">
        <v>347</v>
      </c>
      <c r="L32" s="121"/>
      <c r="M32" s="121" t="s">
        <v>970</v>
      </c>
      <c r="N32" s="121"/>
      <c r="O32" s="121" t="s">
        <v>1214</v>
      </c>
      <c r="P32" s="121"/>
      <c r="Q32" s="112">
        <v>583.33000000000004</v>
      </c>
    </row>
    <row r="33" spans="1:17" ht="12.75" outlineLevel="1" collapsed="1" x14ac:dyDescent="0.2">
      <c r="A33" s="121"/>
      <c r="B33" s="121"/>
      <c r="C33" s="121"/>
      <c r="D33" s="121"/>
      <c r="E33" s="121"/>
      <c r="F33" s="121"/>
      <c r="G33" s="122"/>
      <c r="H33" s="121"/>
      <c r="I33" s="121"/>
      <c r="J33" s="121"/>
      <c r="K33" s="111" t="s">
        <v>1052</v>
      </c>
      <c r="L33" s="121"/>
      <c r="M33" s="121"/>
      <c r="N33" s="121"/>
      <c r="O33" s="121"/>
      <c r="P33" s="121"/>
      <c r="Q33" s="120">
        <f>SUBTOTAL(9,Q32:Q32)</f>
        <v>583.33000000000004</v>
      </c>
    </row>
    <row r="34" spans="1:17" ht="12.75" hidden="1" outlineLevel="2" x14ac:dyDescent="0.2">
      <c r="A34" s="121"/>
      <c r="B34" s="121"/>
      <c r="C34" s="121"/>
      <c r="D34" s="121"/>
      <c r="E34" s="121" t="s">
        <v>307</v>
      </c>
      <c r="F34" s="121"/>
      <c r="G34" s="122">
        <v>45519</v>
      </c>
      <c r="H34" s="121"/>
      <c r="I34" s="121" t="s">
        <v>1139</v>
      </c>
      <c r="J34" s="121"/>
      <c r="K34" s="121" t="s">
        <v>349</v>
      </c>
      <c r="L34" s="121"/>
      <c r="M34" s="121" t="s">
        <v>970</v>
      </c>
      <c r="N34" s="121"/>
      <c r="O34" s="121" t="s">
        <v>1214</v>
      </c>
      <c r="P34" s="121"/>
      <c r="Q34" s="112">
        <v>2781.25</v>
      </c>
    </row>
    <row r="35" spans="1:17" ht="12.75" outlineLevel="1" collapsed="1" x14ac:dyDescent="0.2">
      <c r="A35" s="121"/>
      <c r="B35" s="121"/>
      <c r="C35" s="121"/>
      <c r="D35" s="121"/>
      <c r="E35" s="121"/>
      <c r="F35" s="121"/>
      <c r="G35" s="122"/>
      <c r="H35" s="121"/>
      <c r="I35" s="121"/>
      <c r="J35" s="121"/>
      <c r="K35" s="111" t="s">
        <v>1053</v>
      </c>
      <c r="L35" s="121"/>
      <c r="M35" s="121"/>
      <c r="N35" s="121"/>
      <c r="O35" s="121"/>
      <c r="P35" s="121"/>
      <c r="Q35" s="120">
        <f>SUBTOTAL(9,Q34:Q34)</f>
        <v>2781.25</v>
      </c>
    </row>
    <row r="36" spans="1:17" ht="12.75" hidden="1" outlineLevel="2" x14ac:dyDescent="0.2">
      <c r="A36" s="121"/>
      <c r="B36" s="121"/>
      <c r="C36" s="121"/>
      <c r="D36" s="121"/>
      <c r="E36" s="121" t="s">
        <v>307</v>
      </c>
      <c r="F36" s="121"/>
      <c r="G36" s="122">
        <v>45534</v>
      </c>
      <c r="H36" s="121"/>
      <c r="I36" s="121" t="s">
        <v>1140</v>
      </c>
      <c r="J36" s="121"/>
      <c r="K36" s="121" t="s">
        <v>566</v>
      </c>
      <c r="L36" s="121"/>
      <c r="M36" s="121" t="s">
        <v>970</v>
      </c>
      <c r="N36" s="121"/>
      <c r="O36" s="121" t="s">
        <v>1214</v>
      </c>
      <c r="P36" s="121"/>
      <c r="Q36" s="112">
        <v>1308</v>
      </c>
    </row>
    <row r="37" spans="1:17" ht="12.75" outlineLevel="1" collapsed="1" x14ac:dyDescent="0.2">
      <c r="A37" s="121"/>
      <c r="B37" s="121"/>
      <c r="C37" s="121"/>
      <c r="D37" s="121"/>
      <c r="E37" s="121"/>
      <c r="F37" s="121"/>
      <c r="G37" s="122"/>
      <c r="H37" s="121"/>
      <c r="I37" s="121"/>
      <c r="J37" s="121"/>
      <c r="K37" s="111" t="s">
        <v>1054</v>
      </c>
      <c r="L37" s="121"/>
      <c r="M37" s="121"/>
      <c r="N37" s="121"/>
      <c r="O37" s="121"/>
      <c r="P37" s="121"/>
      <c r="Q37" s="120">
        <f>SUBTOTAL(9,Q36:Q36)</f>
        <v>1308</v>
      </c>
    </row>
    <row r="38" spans="1:17" ht="12.75" hidden="1" outlineLevel="2" x14ac:dyDescent="0.2">
      <c r="A38" s="121"/>
      <c r="B38" s="121"/>
      <c r="C38" s="121"/>
      <c r="D38" s="121"/>
      <c r="E38" s="121" t="s">
        <v>307</v>
      </c>
      <c r="F38" s="121"/>
      <c r="G38" s="122">
        <v>45511</v>
      </c>
      <c r="H38" s="121"/>
      <c r="I38" s="121" t="s">
        <v>1141</v>
      </c>
      <c r="J38" s="121"/>
      <c r="K38" s="121" t="s">
        <v>351</v>
      </c>
      <c r="L38" s="121"/>
      <c r="M38" s="121" t="s">
        <v>970</v>
      </c>
      <c r="N38" s="121"/>
      <c r="O38" s="121" t="s">
        <v>1214</v>
      </c>
      <c r="P38" s="121"/>
      <c r="Q38" s="112">
        <v>4417</v>
      </c>
    </row>
    <row r="39" spans="1:17" ht="12.75" outlineLevel="1" collapsed="1" x14ac:dyDescent="0.2">
      <c r="A39" s="121"/>
      <c r="B39" s="121"/>
      <c r="C39" s="121"/>
      <c r="D39" s="121"/>
      <c r="E39" s="121"/>
      <c r="F39" s="121"/>
      <c r="G39" s="122"/>
      <c r="H39" s="121"/>
      <c r="I39" s="121"/>
      <c r="J39" s="121"/>
      <c r="K39" s="111" t="s">
        <v>1055</v>
      </c>
      <c r="L39" s="121"/>
      <c r="M39" s="121"/>
      <c r="N39" s="121"/>
      <c r="O39" s="121"/>
      <c r="P39" s="121"/>
      <c r="Q39" s="120">
        <f>SUBTOTAL(9,Q38:Q38)</f>
        <v>4417</v>
      </c>
    </row>
    <row r="40" spans="1:17" ht="12.75" hidden="1" outlineLevel="2" x14ac:dyDescent="0.2">
      <c r="A40" s="121"/>
      <c r="B40" s="121"/>
      <c r="C40" s="121"/>
      <c r="D40" s="121"/>
      <c r="E40" s="121" t="s">
        <v>307</v>
      </c>
      <c r="F40" s="121"/>
      <c r="G40" s="122">
        <v>45532</v>
      </c>
      <c r="H40" s="121"/>
      <c r="I40" s="121" t="s">
        <v>1142</v>
      </c>
      <c r="J40" s="121"/>
      <c r="K40" s="121" t="s">
        <v>588</v>
      </c>
      <c r="L40" s="121"/>
      <c r="M40" s="121" t="s">
        <v>970</v>
      </c>
      <c r="N40" s="121"/>
      <c r="O40" s="121" t="s">
        <v>1214</v>
      </c>
      <c r="P40" s="121"/>
      <c r="Q40" s="112">
        <v>30</v>
      </c>
    </row>
    <row r="41" spans="1:17" ht="12.75" outlineLevel="1" collapsed="1" x14ac:dyDescent="0.2">
      <c r="A41" s="121"/>
      <c r="B41" s="121"/>
      <c r="C41" s="121"/>
      <c r="D41" s="121"/>
      <c r="E41" s="121"/>
      <c r="F41" s="121"/>
      <c r="G41" s="122"/>
      <c r="H41" s="121"/>
      <c r="I41" s="121"/>
      <c r="J41" s="121"/>
      <c r="K41" s="111" t="s">
        <v>1056</v>
      </c>
      <c r="L41" s="121"/>
      <c r="M41" s="121"/>
      <c r="N41" s="121"/>
      <c r="O41" s="121"/>
      <c r="P41" s="121"/>
      <c r="Q41" s="120">
        <f>SUBTOTAL(9,Q40:Q40)</f>
        <v>30</v>
      </c>
    </row>
    <row r="42" spans="1:17" ht="12.75" hidden="1" outlineLevel="2" x14ac:dyDescent="0.2">
      <c r="A42" s="121"/>
      <c r="B42" s="121"/>
      <c r="C42" s="121"/>
      <c r="D42" s="121"/>
      <c r="E42" s="121" t="s">
        <v>307</v>
      </c>
      <c r="F42" s="121"/>
      <c r="G42" s="122">
        <v>45523</v>
      </c>
      <c r="H42" s="121"/>
      <c r="I42" s="121" t="s">
        <v>1143</v>
      </c>
      <c r="J42" s="121"/>
      <c r="K42" s="121" t="s">
        <v>353</v>
      </c>
      <c r="L42" s="121"/>
      <c r="M42" s="121" t="s">
        <v>970</v>
      </c>
      <c r="N42" s="121"/>
      <c r="O42" s="121" t="s">
        <v>1214</v>
      </c>
      <c r="P42" s="121"/>
      <c r="Q42" s="112">
        <v>170</v>
      </c>
    </row>
    <row r="43" spans="1:17" ht="12.75" outlineLevel="1" collapsed="1" x14ac:dyDescent="0.2">
      <c r="A43" s="121"/>
      <c r="B43" s="121"/>
      <c r="C43" s="121"/>
      <c r="D43" s="121"/>
      <c r="E43" s="121"/>
      <c r="F43" s="121"/>
      <c r="G43" s="122"/>
      <c r="H43" s="121"/>
      <c r="I43" s="121"/>
      <c r="J43" s="121"/>
      <c r="K43" s="111" t="s">
        <v>1057</v>
      </c>
      <c r="L43" s="121"/>
      <c r="M43" s="121"/>
      <c r="N43" s="121"/>
      <c r="O43" s="121"/>
      <c r="P43" s="121"/>
      <c r="Q43" s="120">
        <f>SUBTOTAL(9,Q42:Q42)</f>
        <v>170</v>
      </c>
    </row>
    <row r="44" spans="1:17" ht="12.75" hidden="1" outlineLevel="2" x14ac:dyDescent="0.2">
      <c r="A44" s="121"/>
      <c r="B44" s="121"/>
      <c r="C44" s="121"/>
      <c r="D44" s="121"/>
      <c r="E44" s="121" t="s">
        <v>307</v>
      </c>
      <c r="F44" s="121"/>
      <c r="G44" s="122">
        <v>45534</v>
      </c>
      <c r="H44" s="121"/>
      <c r="I44" s="121" t="s">
        <v>1144</v>
      </c>
      <c r="J44" s="121"/>
      <c r="K44" s="121" t="s">
        <v>599</v>
      </c>
      <c r="L44" s="121"/>
      <c r="M44" s="121" t="s">
        <v>1145</v>
      </c>
      <c r="N44" s="121"/>
      <c r="O44" s="121" t="s">
        <v>1214</v>
      </c>
      <c r="P44" s="121"/>
      <c r="Q44" s="112">
        <v>687.5</v>
      </c>
    </row>
    <row r="45" spans="1:17" ht="12.75" outlineLevel="1" collapsed="1" x14ac:dyDescent="0.2">
      <c r="A45" s="121"/>
      <c r="B45" s="121"/>
      <c r="C45" s="121"/>
      <c r="D45" s="121"/>
      <c r="E45" s="121"/>
      <c r="F45" s="121"/>
      <c r="G45" s="122"/>
      <c r="H45" s="121"/>
      <c r="I45" s="121"/>
      <c r="J45" s="121"/>
      <c r="K45" s="111" t="s">
        <v>1058</v>
      </c>
      <c r="L45" s="121"/>
      <c r="M45" s="121"/>
      <c r="N45" s="121"/>
      <c r="O45" s="121"/>
      <c r="P45" s="121"/>
      <c r="Q45" s="120">
        <f>SUBTOTAL(9,Q44:Q44)</f>
        <v>687.5</v>
      </c>
    </row>
    <row r="46" spans="1:17" ht="12.75" hidden="1" outlineLevel="2" x14ac:dyDescent="0.2">
      <c r="A46" s="121"/>
      <c r="B46" s="121"/>
      <c r="C46" s="121"/>
      <c r="D46" s="121"/>
      <c r="E46" s="121" t="s">
        <v>307</v>
      </c>
      <c r="F46" s="121"/>
      <c r="G46" s="122">
        <v>45510</v>
      </c>
      <c r="H46" s="121"/>
      <c r="I46" s="121" t="s">
        <v>1146</v>
      </c>
      <c r="J46" s="121"/>
      <c r="K46" s="121" t="s">
        <v>355</v>
      </c>
      <c r="L46" s="121"/>
      <c r="M46" s="121" t="s">
        <v>941</v>
      </c>
      <c r="N46" s="121"/>
      <c r="O46" s="121" t="s">
        <v>1214</v>
      </c>
      <c r="P46" s="121"/>
      <c r="Q46" s="112">
        <v>541.66999999999996</v>
      </c>
    </row>
    <row r="47" spans="1:17" ht="12.75" outlineLevel="1" collapsed="1" x14ac:dyDescent="0.2">
      <c r="A47" s="121"/>
      <c r="B47" s="121"/>
      <c r="C47" s="121"/>
      <c r="D47" s="121"/>
      <c r="E47" s="121"/>
      <c r="F47" s="121"/>
      <c r="G47" s="122"/>
      <c r="H47" s="121"/>
      <c r="I47" s="121"/>
      <c r="J47" s="121"/>
      <c r="K47" s="111" t="s">
        <v>1110</v>
      </c>
      <c r="L47" s="121"/>
      <c r="M47" s="121"/>
      <c r="N47" s="121"/>
      <c r="O47" s="121"/>
      <c r="P47" s="121"/>
      <c r="Q47" s="120">
        <f>SUBTOTAL(9,Q46:Q46)</f>
        <v>541.66999999999996</v>
      </c>
    </row>
    <row r="48" spans="1:17" ht="12.75" hidden="1" outlineLevel="2" x14ac:dyDescent="0.2">
      <c r="A48" s="121"/>
      <c r="B48" s="121"/>
      <c r="C48" s="121"/>
      <c r="D48" s="121"/>
      <c r="E48" s="121" t="s">
        <v>307</v>
      </c>
      <c r="F48" s="121"/>
      <c r="G48" s="122">
        <v>45526</v>
      </c>
      <c r="H48" s="121"/>
      <c r="I48" s="121" t="s">
        <v>1147</v>
      </c>
      <c r="J48" s="121"/>
      <c r="K48" s="121" t="s">
        <v>358</v>
      </c>
      <c r="L48" s="121"/>
      <c r="M48" s="121" t="s">
        <v>941</v>
      </c>
      <c r="N48" s="121"/>
      <c r="O48" s="121" t="s">
        <v>1214</v>
      </c>
      <c r="P48" s="121"/>
      <c r="Q48" s="112">
        <v>250</v>
      </c>
    </row>
    <row r="49" spans="1:17" ht="12.75" outlineLevel="1" collapsed="1" x14ac:dyDescent="0.2">
      <c r="A49" s="121"/>
      <c r="B49" s="121"/>
      <c r="C49" s="121"/>
      <c r="D49" s="121"/>
      <c r="E49" s="121"/>
      <c r="F49" s="121"/>
      <c r="G49" s="122"/>
      <c r="H49" s="121"/>
      <c r="I49" s="121"/>
      <c r="J49" s="121"/>
      <c r="K49" s="111" t="s">
        <v>1111</v>
      </c>
      <c r="L49" s="121"/>
      <c r="M49" s="121"/>
      <c r="N49" s="121"/>
      <c r="O49" s="121"/>
      <c r="P49" s="121"/>
      <c r="Q49" s="120">
        <f>SUBTOTAL(9,Q48:Q48)</f>
        <v>250</v>
      </c>
    </row>
    <row r="50" spans="1:17" ht="12.75" hidden="1" outlineLevel="2" x14ac:dyDescent="0.2">
      <c r="A50" s="121"/>
      <c r="B50" s="121"/>
      <c r="C50" s="121"/>
      <c r="D50" s="121"/>
      <c r="E50" s="121" t="s">
        <v>307</v>
      </c>
      <c r="F50" s="121"/>
      <c r="G50" s="122">
        <v>45532</v>
      </c>
      <c r="H50" s="121"/>
      <c r="I50" s="121" t="s">
        <v>1148</v>
      </c>
      <c r="J50" s="121"/>
      <c r="K50" s="121" t="s">
        <v>360</v>
      </c>
      <c r="L50" s="121"/>
      <c r="M50" s="121" t="s">
        <v>941</v>
      </c>
      <c r="N50" s="121"/>
      <c r="O50" s="121" t="s">
        <v>1214</v>
      </c>
      <c r="P50" s="121"/>
      <c r="Q50" s="112">
        <v>500</v>
      </c>
    </row>
    <row r="51" spans="1:17" ht="12.75" outlineLevel="1" collapsed="1" x14ac:dyDescent="0.2">
      <c r="A51" s="121"/>
      <c r="B51" s="121"/>
      <c r="C51" s="121"/>
      <c r="D51" s="121"/>
      <c r="E51" s="121"/>
      <c r="F51" s="121"/>
      <c r="G51" s="122"/>
      <c r="H51" s="121"/>
      <c r="I51" s="121"/>
      <c r="J51" s="121"/>
      <c r="K51" s="111" t="s">
        <v>1112</v>
      </c>
      <c r="L51" s="121"/>
      <c r="M51" s="121"/>
      <c r="N51" s="121"/>
      <c r="O51" s="121"/>
      <c r="P51" s="121"/>
      <c r="Q51" s="120">
        <f>SUBTOTAL(9,Q50:Q50)</f>
        <v>500</v>
      </c>
    </row>
    <row r="52" spans="1:17" ht="12.75" hidden="1" outlineLevel="2" x14ac:dyDescent="0.2">
      <c r="A52" s="121"/>
      <c r="B52" s="121"/>
      <c r="C52" s="121"/>
      <c r="D52" s="121"/>
      <c r="E52" s="121" t="s">
        <v>307</v>
      </c>
      <c r="F52" s="121"/>
      <c r="G52" s="122">
        <v>45510</v>
      </c>
      <c r="H52" s="121"/>
      <c r="I52" s="121" t="s">
        <v>1149</v>
      </c>
      <c r="J52" s="121"/>
      <c r="K52" s="121" t="s">
        <v>624</v>
      </c>
      <c r="L52" s="121"/>
      <c r="M52" s="121" t="s">
        <v>941</v>
      </c>
      <c r="N52" s="121"/>
      <c r="O52" s="121" t="s">
        <v>1214</v>
      </c>
      <c r="P52" s="121"/>
      <c r="Q52" s="112">
        <v>300</v>
      </c>
    </row>
    <row r="53" spans="1:17" ht="12.75" outlineLevel="1" collapsed="1" x14ac:dyDescent="0.2">
      <c r="A53" s="121"/>
      <c r="B53" s="121"/>
      <c r="C53" s="121"/>
      <c r="D53" s="121"/>
      <c r="E53" s="121"/>
      <c r="F53" s="121"/>
      <c r="G53" s="122"/>
      <c r="H53" s="121"/>
      <c r="I53" s="121"/>
      <c r="J53" s="121"/>
      <c r="K53" s="111" t="s">
        <v>1059</v>
      </c>
      <c r="L53" s="121"/>
      <c r="M53" s="121"/>
      <c r="N53" s="121"/>
      <c r="O53" s="121"/>
      <c r="P53" s="121"/>
      <c r="Q53" s="120">
        <f>SUBTOTAL(9,Q52:Q52)</f>
        <v>300</v>
      </c>
    </row>
    <row r="54" spans="1:17" ht="12.75" hidden="1" outlineLevel="2" x14ac:dyDescent="0.2">
      <c r="A54" s="121"/>
      <c r="B54" s="121"/>
      <c r="C54" s="121"/>
      <c r="D54" s="121"/>
      <c r="E54" s="121" t="s">
        <v>307</v>
      </c>
      <c r="F54" s="121"/>
      <c r="G54" s="122">
        <v>45513</v>
      </c>
      <c r="H54" s="121"/>
      <c r="I54" s="121" t="s">
        <v>1150</v>
      </c>
      <c r="J54" s="121"/>
      <c r="K54" s="121" t="s">
        <v>639</v>
      </c>
      <c r="L54" s="121"/>
      <c r="M54" s="121" t="s">
        <v>1151</v>
      </c>
      <c r="N54" s="121"/>
      <c r="O54" s="121" t="s">
        <v>1214</v>
      </c>
      <c r="P54" s="121"/>
      <c r="Q54" s="112">
        <v>2500</v>
      </c>
    </row>
    <row r="55" spans="1:17" ht="12.75" outlineLevel="1" collapsed="1" x14ac:dyDescent="0.2">
      <c r="A55" s="121"/>
      <c r="B55" s="121"/>
      <c r="C55" s="121"/>
      <c r="D55" s="121"/>
      <c r="E55" s="121"/>
      <c r="F55" s="121"/>
      <c r="G55" s="122"/>
      <c r="H55" s="121"/>
      <c r="I55" s="121"/>
      <c r="J55" s="121"/>
      <c r="K55" s="111" t="s">
        <v>1113</v>
      </c>
      <c r="L55" s="121"/>
      <c r="M55" s="121"/>
      <c r="N55" s="121"/>
      <c r="O55" s="121"/>
      <c r="P55" s="121"/>
      <c r="Q55" s="120">
        <f>SUBTOTAL(9,Q54:Q54)</f>
        <v>2500</v>
      </c>
    </row>
    <row r="56" spans="1:17" ht="12.75" hidden="1" outlineLevel="2" x14ac:dyDescent="0.2">
      <c r="A56" s="121"/>
      <c r="B56" s="121"/>
      <c r="C56" s="121"/>
      <c r="D56" s="121"/>
      <c r="E56" s="121" t="s">
        <v>307</v>
      </c>
      <c r="F56" s="121"/>
      <c r="G56" s="122">
        <v>45517</v>
      </c>
      <c r="H56" s="121"/>
      <c r="I56" s="121" t="s">
        <v>1152</v>
      </c>
      <c r="J56" s="121"/>
      <c r="K56" s="121" t="s">
        <v>365</v>
      </c>
      <c r="L56" s="121"/>
      <c r="M56" s="121" t="s">
        <v>970</v>
      </c>
      <c r="N56" s="121"/>
      <c r="O56" s="121" t="s">
        <v>1214</v>
      </c>
      <c r="P56" s="121"/>
      <c r="Q56" s="112">
        <v>800</v>
      </c>
    </row>
    <row r="57" spans="1:17" ht="12.75" outlineLevel="1" collapsed="1" x14ac:dyDescent="0.2">
      <c r="A57" s="121"/>
      <c r="B57" s="121"/>
      <c r="C57" s="121"/>
      <c r="D57" s="121"/>
      <c r="E57" s="121"/>
      <c r="F57" s="121"/>
      <c r="G57" s="122"/>
      <c r="H57" s="121"/>
      <c r="I57" s="121"/>
      <c r="J57" s="121"/>
      <c r="K57" s="111" t="s">
        <v>1060</v>
      </c>
      <c r="L57" s="121"/>
      <c r="M57" s="121"/>
      <c r="N57" s="121"/>
      <c r="O57" s="121"/>
      <c r="P57" s="121"/>
      <c r="Q57" s="120">
        <f>SUBTOTAL(9,Q56:Q56)</f>
        <v>800</v>
      </c>
    </row>
    <row r="58" spans="1:17" ht="12.75" hidden="1" outlineLevel="2" x14ac:dyDescent="0.2">
      <c r="A58" s="121"/>
      <c r="B58" s="121"/>
      <c r="C58" s="121"/>
      <c r="D58" s="121"/>
      <c r="E58" s="121" t="s">
        <v>307</v>
      </c>
      <c r="F58" s="121"/>
      <c r="G58" s="122">
        <v>45512</v>
      </c>
      <c r="H58" s="121"/>
      <c r="I58" s="121" t="s">
        <v>1153</v>
      </c>
      <c r="J58" s="121"/>
      <c r="K58" s="121" t="s">
        <v>368</v>
      </c>
      <c r="L58" s="121"/>
      <c r="M58" s="121" t="s">
        <v>941</v>
      </c>
      <c r="N58" s="121"/>
      <c r="O58" s="121" t="s">
        <v>1214</v>
      </c>
      <c r="P58" s="121"/>
      <c r="Q58" s="112">
        <v>1500</v>
      </c>
    </row>
    <row r="59" spans="1:17" ht="12.75" outlineLevel="1" collapsed="1" x14ac:dyDescent="0.2">
      <c r="A59" s="121"/>
      <c r="B59" s="121"/>
      <c r="C59" s="121"/>
      <c r="D59" s="121"/>
      <c r="E59" s="121"/>
      <c r="F59" s="121"/>
      <c r="G59" s="122"/>
      <c r="H59" s="121"/>
      <c r="I59" s="121"/>
      <c r="J59" s="121"/>
      <c r="K59" s="111" t="s">
        <v>1061</v>
      </c>
      <c r="L59" s="121"/>
      <c r="M59" s="121"/>
      <c r="N59" s="121"/>
      <c r="O59" s="121"/>
      <c r="P59" s="121"/>
      <c r="Q59" s="120">
        <f>SUBTOTAL(9,Q58:Q58)</f>
        <v>1500</v>
      </c>
    </row>
    <row r="60" spans="1:17" ht="12.75" hidden="1" outlineLevel="2" x14ac:dyDescent="0.2">
      <c r="A60" s="121"/>
      <c r="B60" s="121"/>
      <c r="C60" s="121"/>
      <c r="D60" s="121"/>
      <c r="E60" s="121" t="s">
        <v>307</v>
      </c>
      <c r="F60" s="121"/>
      <c r="G60" s="122">
        <v>45512</v>
      </c>
      <c r="H60" s="121"/>
      <c r="I60" s="121" t="s">
        <v>1154</v>
      </c>
      <c r="J60" s="121"/>
      <c r="K60" s="121" t="s">
        <v>370</v>
      </c>
      <c r="L60" s="121"/>
      <c r="M60" s="121" t="s">
        <v>970</v>
      </c>
      <c r="N60" s="121"/>
      <c r="O60" s="121" t="s">
        <v>1214</v>
      </c>
      <c r="P60" s="121"/>
      <c r="Q60" s="112">
        <v>2083.34</v>
      </c>
    </row>
    <row r="61" spans="1:17" ht="12.75" outlineLevel="1" collapsed="1" x14ac:dyDescent="0.2">
      <c r="A61" s="121"/>
      <c r="B61" s="121"/>
      <c r="C61" s="121"/>
      <c r="D61" s="121"/>
      <c r="E61" s="121"/>
      <c r="F61" s="121"/>
      <c r="G61" s="122"/>
      <c r="H61" s="121"/>
      <c r="I61" s="121"/>
      <c r="J61" s="121"/>
      <c r="K61" s="111" t="s">
        <v>1062</v>
      </c>
      <c r="L61" s="121"/>
      <c r="M61" s="121"/>
      <c r="N61" s="121"/>
      <c r="O61" s="121"/>
      <c r="P61" s="121"/>
      <c r="Q61" s="120">
        <f>SUBTOTAL(9,Q60:Q60)</f>
        <v>2083.34</v>
      </c>
    </row>
    <row r="62" spans="1:17" ht="12.75" hidden="1" outlineLevel="2" x14ac:dyDescent="0.2">
      <c r="A62" s="121"/>
      <c r="B62" s="121"/>
      <c r="C62" s="121"/>
      <c r="D62" s="121"/>
      <c r="E62" s="121" t="s">
        <v>307</v>
      </c>
      <c r="F62" s="121"/>
      <c r="G62" s="122">
        <v>45517</v>
      </c>
      <c r="H62" s="121"/>
      <c r="I62" s="121" t="s">
        <v>1155</v>
      </c>
      <c r="J62" s="121"/>
      <c r="K62" s="121" t="s">
        <v>372</v>
      </c>
      <c r="L62" s="121"/>
      <c r="M62" s="121" t="s">
        <v>970</v>
      </c>
      <c r="N62" s="121"/>
      <c r="O62" s="121" t="s">
        <v>1214</v>
      </c>
      <c r="P62" s="121"/>
      <c r="Q62" s="112">
        <v>1200</v>
      </c>
    </row>
    <row r="63" spans="1:17" ht="12.75" outlineLevel="1" collapsed="1" x14ac:dyDescent="0.2">
      <c r="A63" s="121"/>
      <c r="B63" s="121"/>
      <c r="C63" s="121"/>
      <c r="D63" s="121"/>
      <c r="E63" s="121"/>
      <c r="F63" s="121"/>
      <c r="G63" s="122"/>
      <c r="H63" s="121"/>
      <c r="I63" s="121"/>
      <c r="J63" s="121"/>
      <c r="K63" s="111" t="s">
        <v>1063</v>
      </c>
      <c r="L63" s="121"/>
      <c r="M63" s="121"/>
      <c r="N63" s="121"/>
      <c r="O63" s="121"/>
      <c r="P63" s="121"/>
      <c r="Q63" s="120">
        <f>SUBTOTAL(9,Q62:Q62)</f>
        <v>1200</v>
      </c>
    </row>
    <row r="64" spans="1:17" ht="12.75" hidden="1" outlineLevel="2" x14ac:dyDescent="0.2">
      <c r="A64" s="121"/>
      <c r="B64" s="121"/>
      <c r="C64" s="121"/>
      <c r="D64" s="121"/>
      <c r="E64" s="121" t="s">
        <v>307</v>
      </c>
      <c r="F64" s="121"/>
      <c r="G64" s="122">
        <v>45523</v>
      </c>
      <c r="H64" s="121"/>
      <c r="I64" s="121" t="s">
        <v>1156</v>
      </c>
      <c r="J64" s="121"/>
      <c r="K64" s="121" t="s">
        <v>374</v>
      </c>
      <c r="L64" s="121"/>
      <c r="M64" s="121" t="s">
        <v>970</v>
      </c>
      <c r="N64" s="121"/>
      <c r="O64" s="121" t="s">
        <v>1214</v>
      </c>
      <c r="P64" s="121"/>
      <c r="Q64" s="112">
        <v>416.67</v>
      </c>
    </row>
    <row r="65" spans="1:17" ht="12.75" outlineLevel="1" collapsed="1" x14ac:dyDescent="0.2">
      <c r="A65" s="121"/>
      <c r="B65" s="121"/>
      <c r="C65" s="121"/>
      <c r="D65" s="121"/>
      <c r="E65" s="121"/>
      <c r="F65" s="121"/>
      <c r="G65" s="122"/>
      <c r="H65" s="121"/>
      <c r="I65" s="121"/>
      <c r="J65" s="121"/>
      <c r="K65" s="111" t="s">
        <v>1064</v>
      </c>
      <c r="L65" s="121"/>
      <c r="M65" s="121"/>
      <c r="N65" s="121"/>
      <c r="O65" s="121"/>
      <c r="P65" s="121"/>
      <c r="Q65" s="120">
        <f>SUBTOTAL(9,Q64:Q64)</f>
        <v>416.67</v>
      </c>
    </row>
    <row r="66" spans="1:17" ht="12.75" hidden="1" outlineLevel="2" x14ac:dyDescent="0.2">
      <c r="A66" s="121"/>
      <c r="B66" s="121"/>
      <c r="C66" s="121"/>
      <c r="D66" s="121"/>
      <c r="E66" s="121" t="s">
        <v>307</v>
      </c>
      <c r="F66" s="121"/>
      <c r="G66" s="122">
        <v>45519</v>
      </c>
      <c r="H66" s="121"/>
      <c r="I66" s="121" t="s">
        <v>1157</v>
      </c>
      <c r="J66" s="121"/>
      <c r="K66" s="121" t="s">
        <v>376</v>
      </c>
      <c r="L66" s="121"/>
      <c r="M66" s="121" t="s">
        <v>970</v>
      </c>
      <c r="N66" s="121"/>
      <c r="O66" s="121" t="s">
        <v>1214</v>
      </c>
      <c r="P66" s="121"/>
      <c r="Q66" s="112">
        <v>1666.67</v>
      </c>
    </row>
    <row r="67" spans="1:17" ht="12.75" outlineLevel="1" collapsed="1" x14ac:dyDescent="0.2">
      <c r="A67" s="121"/>
      <c r="B67" s="121"/>
      <c r="C67" s="121"/>
      <c r="D67" s="121"/>
      <c r="E67" s="121"/>
      <c r="F67" s="121"/>
      <c r="G67" s="122"/>
      <c r="H67" s="121"/>
      <c r="I67" s="121"/>
      <c r="J67" s="121"/>
      <c r="K67" s="111" t="s">
        <v>1065</v>
      </c>
      <c r="L67" s="121"/>
      <c r="M67" s="121"/>
      <c r="N67" s="121"/>
      <c r="O67" s="121"/>
      <c r="P67" s="121"/>
      <c r="Q67" s="120">
        <f>SUBTOTAL(9,Q66:Q66)</f>
        <v>1666.67</v>
      </c>
    </row>
    <row r="68" spans="1:17" ht="12.75" hidden="1" outlineLevel="2" x14ac:dyDescent="0.2">
      <c r="A68" s="121"/>
      <c r="B68" s="121"/>
      <c r="C68" s="121"/>
      <c r="D68" s="121"/>
      <c r="E68" s="121" t="s">
        <v>307</v>
      </c>
      <c r="F68" s="121"/>
      <c r="G68" s="122">
        <v>45510</v>
      </c>
      <c r="H68" s="121"/>
      <c r="I68" s="121" t="s">
        <v>1158</v>
      </c>
      <c r="J68" s="121"/>
      <c r="K68" s="121" t="s">
        <v>673</v>
      </c>
      <c r="L68" s="121"/>
      <c r="M68" s="121" t="s">
        <v>1129</v>
      </c>
      <c r="N68" s="121"/>
      <c r="O68" s="121" t="s">
        <v>1214</v>
      </c>
      <c r="P68" s="121"/>
      <c r="Q68" s="112">
        <v>2875</v>
      </c>
    </row>
    <row r="69" spans="1:17" ht="12.75" outlineLevel="1" collapsed="1" x14ac:dyDescent="0.2">
      <c r="A69" s="121"/>
      <c r="B69" s="121"/>
      <c r="C69" s="121"/>
      <c r="D69" s="121"/>
      <c r="E69" s="121"/>
      <c r="F69" s="121"/>
      <c r="G69" s="122"/>
      <c r="H69" s="121"/>
      <c r="I69" s="121"/>
      <c r="J69" s="121"/>
      <c r="K69" s="111" t="s">
        <v>1114</v>
      </c>
      <c r="L69" s="121"/>
      <c r="M69" s="121"/>
      <c r="N69" s="121"/>
      <c r="O69" s="121"/>
      <c r="P69" s="121"/>
      <c r="Q69" s="120">
        <f>SUBTOTAL(9,Q68:Q68)</f>
        <v>2875</v>
      </c>
    </row>
    <row r="70" spans="1:17" ht="12.75" hidden="1" outlineLevel="2" x14ac:dyDescent="0.2">
      <c r="A70" s="121"/>
      <c r="B70" s="121"/>
      <c r="C70" s="121"/>
      <c r="D70" s="121"/>
      <c r="E70" s="121" t="s">
        <v>307</v>
      </c>
      <c r="F70" s="121"/>
      <c r="G70" s="122">
        <v>45506</v>
      </c>
      <c r="H70" s="121"/>
      <c r="I70" s="121" t="s">
        <v>1159</v>
      </c>
      <c r="J70" s="121"/>
      <c r="K70" s="121" t="s">
        <v>378</v>
      </c>
      <c r="L70" s="121"/>
      <c r="M70" s="121" t="s">
        <v>970</v>
      </c>
      <c r="N70" s="121"/>
      <c r="O70" s="121" t="s">
        <v>1214</v>
      </c>
      <c r="P70" s="121"/>
      <c r="Q70" s="112">
        <v>1300</v>
      </c>
    </row>
    <row r="71" spans="1:17" ht="12.75" outlineLevel="1" collapsed="1" x14ac:dyDescent="0.2">
      <c r="A71" s="121"/>
      <c r="B71" s="121"/>
      <c r="C71" s="121"/>
      <c r="D71" s="121"/>
      <c r="E71" s="121"/>
      <c r="F71" s="121"/>
      <c r="G71" s="122"/>
      <c r="H71" s="121"/>
      <c r="I71" s="121"/>
      <c r="J71" s="121"/>
      <c r="K71" s="111" t="s">
        <v>1066</v>
      </c>
      <c r="L71" s="121"/>
      <c r="M71" s="121"/>
      <c r="N71" s="121"/>
      <c r="O71" s="121"/>
      <c r="P71" s="121"/>
      <c r="Q71" s="120">
        <f>SUBTOTAL(9,Q70:Q70)</f>
        <v>1300</v>
      </c>
    </row>
    <row r="72" spans="1:17" ht="12.75" hidden="1" outlineLevel="2" x14ac:dyDescent="0.2">
      <c r="A72" s="121"/>
      <c r="B72" s="121"/>
      <c r="C72" s="121"/>
      <c r="D72" s="121"/>
      <c r="E72" s="121" t="s">
        <v>307</v>
      </c>
      <c r="F72" s="121"/>
      <c r="G72" s="122">
        <v>45513</v>
      </c>
      <c r="H72" s="121"/>
      <c r="I72" s="121" t="s">
        <v>1160</v>
      </c>
      <c r="J72" s="121"/>
      <c r="K72" s="121" t="s">
        <v>380</v>
      </c>
      <c r="L72" s="121"/>
      <c r="M72" s="121" t="s">
        <v>970</v>
      </c>
      <c r="N72" s="121"/>
      <c r="O72" s="121" t="s">
        <v>1214</v>
      </c>
      <c r="P72" s="121"/>
      <c r="Q72" s="112">
        <v>6250</v>
      </c>
    </row>
    <row r="73" spans="1:17" ht="12.75" outlineLevel="1" collapsed="1" x14ac:dyDescent="0.2">
      <c r="A73" s="121"/>
      <c r="B73" s="121"/>
      <c r="C73" s="121"/>
      <c r="D73" s="121"/>
      <c r="E73" s="121"/>
      <c r="F73" s="121"/>
      <c r="G73" s="122"/>
      <c r="H73" s="121"/>
      <c r="I73" s="121"/>
      <c r="J73" s="121"/>
      <c r="K73" s="111" t="s">
        <v>1067</v>
      </c>
      <c r="L73" s="121"/>
      <c r="M73" s="121"/>
      <c r="N73" s="121"/>
      <c r="O73" s="121"/>
      <c r="P73" s="121"/>
      <c r="Q73" s="120">
        <f>SUBTOTAL(9,Q72:Q72)</f>
        <v>6250</v>
      </c>
    </row>
    <row r="74" spans="1:17" ht="12.75" hidden="1" outlineLevel="2" x14ac:dyDescent="0.2">
      <c r="A74" s="121"/>
      <c r="B74" s="121"/>
      <c r="C74" s="121"/>
      <c r="D74" s="121"/>
      <c r="E74" s="121" t="s">
        <v>307</v>
      </c>
      <c r="F74" s="121"/>
      <c r="G74" s="122">
        <v>45525</v>
      </c>
      <c r="H74" s="121"/>
      <c r="I74" s="121" t="s">
        <v>1161</v>
      </c>
      <c r="J74" s="121"/>
      <c r="K74" s="121" t="s">
        <v>384</v>
      </c>
      <c r="L74" s="121"/>
      <c r="M74" s="121" t="s">
        <v>941</v>
      </c>
      <c r="N74" s="121"/>
      <c r="O74" s="121" t="s">
        <v>1214</v>
      </c>
      <c r="P74" s="121"/>
      <c r="Q74" s="112">
        <v>2367.1799999999998</v>
      </c>
    </row>
    <row r="75" spans="1:17" ht="12.75" outlineLevel="1" collapsed="1" x14ac:dyDescent="0.2">
      <c r="A75" s="121"/>
      <c r="B75" s="121"/>
      <c r="C75" s="121"/>
      <c r="D75" s="121"/>
      <c r="E75" s="121"/>
      <c r="F75" s="121"/>
      <c r="G75" s="122"/>
      <c r="H75" s="121"/>
      <c r="I75" s="121"/>
      <c r="J75" s="121"/>
      <c r="K75" s="111" t="s">
        <v>1068</v>
      </c>
      <c r="L75" s="121"/>
      <c r="M75" s="121"/>
      <c r="N75" s="121"/>
      <c r="O75" s="121"/>
      <c r="P75" s="121"/>
      <c r="Q75" s="120">
        <f>SUBTOTAL(9,Q74:Q74)</f>
        <v>2367.1799999999998</v>
      </c>
    </row>
    <row r="76" spans="1:17" ht="12.75" hidden="1" outlineLevel="2" x14ac:dyDescent="0.2">
      <c r="A76" s="121"/>
      <c r="B76" s="121"/>
      <c r="C76" s="121"/>
      <c r="D76" s="121"/>
      <c r="E76" s="121" t="s">
        <v>307</v>
      </c>
      <c r="F76" s="121"/>
      <c r="G76" s="122">
        <v>45510</v>
      </c>
      <c r="H76" s="121"/>
      <c r="I76" s="121" t="s">
        <v>1162</v>
      </c>
      <c r="J76" s="121"/>
      <c r="K76" s="121" t="s">
        <v>144</v>
      </c>
      <c r="L76" s="121"/>
      <c r="M76" s="121" t="s">
        <v>941</v>
      </c>
      <c r="N76" s="121"/>
      <c r="O76" s="121" t="s">
        <v>1214</v>
      </c>
      <c r="P76" s="121"/>
      <c r="Q76" s="112">
        <v>148</v>
      </c>
    </row>
    <row r="77" spans="1:17" ht="12.75" outlineLevel="1" collapsed="1" x14ac:dyDescent="0.2">
      <c r="A77" s="121"/>
      <c r="B77" s="121"/>
      <c r="C77" s="121"/>
      <c r="D77" s="121"/>
      <c r="E77" s="121"/>
      <c r="F77" s="121"/>
      <c r="G77" s="122"/>
      <c r="H77" s="121"/>
      <c r="I77" s="121"/>
      <c r="J77" s="121"/>
      <c r="K77" s="111" t="s">
        <v>1069</v>
      </c>
      <c r="L77" s="121"/>
      <c r="M77" s="121"/>
      <c r="N77" s="121"/>
      <c r="O77" s="121"/>
      <c r="P77" s="121"/>
      <c r="Q77" s="120">
        <f>SUBTOTAL(9,Q76:Q76)</f>
        <v>148</v>
      </c>
    </row>
    <row r="78" spans="1:17" ht="12.75" hidden="1" outlineLevel="2" x14ac:dyDescent="0.2">
      <c r="A78" s="121"/>
      <c r="B78" s="121"/>
      <c r="C78" s="121"/>
      <c r="D78" s="121"/>
      <c r="E78" s="121" t="s">
        <v>307</v>
      </c>
      <c r="F78" s="121"/>
      <c r="G78" s="122">
        <v>45517</v>
      </c>
      <c r="H78" s="121"/>
      <c r="I78" s="121" t="s">
        <v>1163</v>
      </c>
      <c r="J78" s="121"/>
      <c r="K78" s="121" t="s">
        <v>387</v>
      </c>
      <c r="L78" s="121"/>
      <c r="M78" s="121" t="s">
        <v>970</v>
      </c>
      <c r="N78" s="121"/>
      <c r="O78" s="121" t="s">
        <v>1214</v>
      </c>
      <c r="P78" s="121"/>
      <c r="Q78" s="112">
        <v>208.33</v>
      </c>
    </row>
    <row r="79" spans="1:17" ht="12.75" outlineLevel="1" collapsed="1" x14ac:dyDescent="0.2">
      <c r="A79" s="121"/>
      <c r="B79" s="121"/>
      <c r="C79" s="121"/>
      <c r="D79" s="121"/>
      <c r="E79" s="121"/>
      <c r="F79" s="121"/>
      <c r="G79" s="122"/>
      <c r="H79" s="121"/>
      <c r="I79" s="121"/>
      <c r="J79" s="121"/>
      <c r="K79" s="111" t="s">
        <v>1070</v>
      </c>
      <c r="L79" s="121"/>
      <c r="M79" s="121"/>
      <c r="N79" s="121"/>
      <c r="O79" s="121"/>
      <c r="P79" s="121"/>
      <c r="Q79" s="120">
        <f>SUBTOTAL(9,Q78:Q78)</f>
        <v>208.33</v>
      </c>
    </row>
    <row r="80" spans="1:17" ht="12.75" hidden="1" outlineLevel="2" x14ac:dyDescent="0.2">
      <c r="A80" s="121"/>
      <c r="B80" s="121"/>
      <c r="C80" s="121"/>
      <c r="D80" s="121"/>
      <c r="E80" s="121" t="s">
        <v>307</v>
      </c>
      <c r="F80" s="121"/>
      <c r="G80" s="122">
        <v>45517</v>
      </c>
      <c r="H80" s="121"/>
      <c r="I80" s="121" t="s">
        <v>1164</v>
      </c>
      <c r="J80" s="121"/>
      <c r="K80" s="121" t="s">
        <v>389</v>
      </c>
      <c r="L80" s="121"/>
      <c r="M80" s="121" t="s">
        <v>941</v>
      </c>
      <c r="N80" s="121"/>
      <c r="O80" s="121" t="s">
        <v>1214</v>
      </c>
      <c r="P80" s="121"/>
      <c r="Q80" s="112">
        <v>3541.67</v>
      </c>
    </row>
    <row r="81" spans="1:17" ht="12.75" hidden="1" outlineLevel="2" x14ac:dyDescent="0.2">
      <c r="A81" s="121"/>
      <c r="B81" s="121"/>
      <c r="C81" s="121"/>
      <c r="D81" s="121"/>
      <c r="E81" s="121" t="s">
        <v>307</v>
      </c>
      <c r="F81" s="121"/>
      <c r="G81" s="122">
        <v>45523</v>
      </c>
      <c r="H81" s="121"/>
      <c r="I81" s="121" t="s">
        <v>1165</v>
      </c>
      <c r="J81" s="121"/>
      <c r="K81" s="121" t="s">
        <v>389</v>
      </c>
      <c r="L81" s="121"/>
      <c r="M81" s="121" t="s">
        <v>970</v>
      </c>
      <c r="N81" s="121"/>
      <c r="O81" s="121" t="s">
        <v>1214</v>
      </c>
      <c r="P81" s="121"/>
      <c r="Q81" s="112">
        <v>3541.67</v>
      </c>
    </row>
    <row r="82" spans="1:17" ht="12.75" outlineLevel="1" collapsed="1" x14ac:dyDescent="0.2">
      <c r="A82" s="121"/>
      <c r="B82" s="121"/>
      <c r="C82" s="121"/>
      <c r="D82" s="121"/>
      <c r="E82" s="121"/>
      <c r="F82" s="121"/>
      <c r="G82" s="122"/>
      <c r="H82" s="121"/>
      <c r="I82" s="121"/>
      <c r="J82" s="121"/>
      <c r="K82" s="111" t="s">
        <v>1115</v>
      </c>
      <c r="L82" s="121"/>
      <c r="M82" s="121"/>
      <c r="N82" s="121"/>
      <c r="O82" s="121"/>
      <c r="P82" s="121"/>
      <c r="Q82" s="120">
        <f>SUBTOTAL(9,Q80:Q81)</f>
        <v>7083.34</v>
      </c>
    </row>
    <row r="83" spans="1:17" ht="12.75" hidden="1" outlineLevel="2" x14ac:dyDescent="0.2">
      <c r="A83" s="121"/>
      <c r="B83" s="121"/>
      <c r="C83" s="121"/>
      <c r="D83" s="121"/>
      <c r="E83" s="121" t="s">
        <v>307</v>
      </c>
      <c r="F83" s="121"/>
      <c r="G83" s="122">
        <v>45519</v>
      </c>
      <c r="H83" s="121"/>
      <c r="I83" s="121" t="s">
        <v>1166</v>
      </c>
      <c r="J83" s="121"/>
      <c r="K83" s="121" t="s">
        <v>44</v>
      </c>
      <c r="L83" s="121"/>
      <c r="M83" s="121" t="s">
        <v>970</v>
      </c>
      <c r="N83" s="121"/>
      <c r="O83" s="121" t="s">
        <v>1214</v>
      </c>
      <c r="P83" s="121"/>
      <c r="Q83" s="112">
        <v>542</v>
      </c>
    </row>
    <row r="84" spans="1:17" ht="12.75" outlineLevel="1" collapsed="1" x14ac:dyDescent="0.2">
      <c r="A84" s="121"/>
      <c r="B84" s="121"/>
      <c r="C84" s="121"/>
      <c r="D84" s="121"/>
      <c r="E84" s="121"/>
      <c r="F84" s="121"/>
      <c r="G84" s="122"/>
      <c r="H84" s="121"/>
      <c r="I84" s="121"/>
      <c r="J84" s="121"/>
      <c r="K84" s="111" t="s">
        <v>1071</v>
      </c>
      <c r="L84" s="121"/>
      <c r="M84" s="121"/>
      <c r="N84" s="121"/>
      <c r="O84" s="121"/>
      <c r="P84" s="121"/>
      <c r="Q84" s="120">
        <f>SUBTOTAL(9,Q83:Q83)</f>
        <v>542</v>
      </c>
    </row>
    <row r="85" spans="1:17" ht="12.75" hidden="1" outlineLevel="2" x14ac:dyDescent="0.2">
      <c r="A85" s="121"/>
      <c r="B85" s="121"/>
      <c r="C85" s="121"/>
      <c r="D85" s="121"/>
      <c r="E85" s="121" t="s">
        <v>307</v>
      </c>
      <c r="F85" s="121"/>
      <c r="G85" s="122">
        <v>45511</v>
      </c>
      <c r="H85" s="121"/>
      <c r="I85" s="121" t="s">
        <v>1167</v>
      </c>
      <c r="J85" s="121"/>
      <c r="K85" s="121" t="s">
        <v>392</v>
      </c>
      <c r="L85" s="121"/>
      <c r="M85" s="121" t="s">
        <v>941</v>
      </c>
      <c r="N85" s="121"/>
      <c r="O85" s="121" t="s">
        <v>1214</v>
      </c>
      <c r="P85" s="121"/>
      <c r="Q85" s="112">
        <v>4391</v>
      </c>
    </row>
    <row r="86" spans="1:17" ht="12.75" outlineLevel="1" collapsed="1" x14ac:dyDescent="0.2">
      <c r="A86" s="121"/>
      <c r="B86" s="121"/>
      <c r="C86" s="121"/>
      <c r="D86" s="121"/>
      <c r="E86" s="121"/>
      <c r="F86" s="121"/>
      <c r="G86" s="122"/>
      <c r="H86" s="121"/>
      <c r="I86" s="121"/>
      <c r="J86" s="121"/>
      <c r="K86" s="111" t="s">
        <v>1072</v>
      </c>
      <c r="L86" s="121"/>
      <c r="M86" s="121"/>
      <c r="N86" s="121"/>
      <c r="O86" s="121"/>
      <c r="P86" s="121"/>
      <c r="Q86" s="120">
        <f>SUBTOTAL(9,Q85:Q85)</f>
        <v>4391</v>
      </c>
    </row>
    <row r="87" spans="1:17" ht="12.75" hidden="1" outlineLevel="2" x14ac:dyDescent="0.2">
      <c r="A87" s="121"/>
      <c r="B87" s="121"/>
      <c r="C87" s="121"/>
      <c r="D87" s="121"/>
      <c r="E87" s="121" t="s">
        <v>307</v>
      </c>
      <c r="F87" s="121"/>
      <c r="G87" s="122">
        <v>45534</v>
      </c>
      <c r="H87" s="121"/>
      <c r="I87" s="121" t="s">
        <v>1168</v>
      </c>
      <c r="J87" s="121"/>
      <c r="K87" s="121" t="s">
        <v>725</v>
      </c>
      <c r="L87" s="121"/>
      <c r="M87" s="121" t="s">
        <v>1169</v>
      </c>
      <c r="N87" s="121"/>
      <c r="O87" s="121" t="s">
        <v>1214</v>
      </c>
      <c r="P87" s="121"/>
      <c r="Q87" s="112">
        <v>200</v>
      </c>
    </row>
    <row r="88" spans="1:17" ht="12.75" outlineLevel="1" collapsed="1" x14ac:dyDescent="0.2">
      <c r="A88" s="121"/>
      <c r="B88" s="121"/>
      <c r="C88" s="121"/>
      <c r="D88" s="121"/>
      <c r="E88" s="121"/>
      <c r="F88" s="121"/>
      <c r="G88" s="122"/>
      <c r="H88" s="121"/>
      <c r="I88" s="121"/>
      <c r="J88" s="121"/>
      <c r="K88" s="111" t="s">
        <v>1073</v>
      </c>
      <c r="L88" s="121"/>
      <c r="M88" s="121"/>
      <c r="N88" s="121"/>
      <c r="O88" s="121"/>
      <c r="P88" s="121"/>
      <c r="Q88" s="120">
        <f>SUBTOTAL(9,Q87:Q87)</f>
        <v>200</v>
      </c>
    </row>
    <row r="89" spans="1:17" ht="12.75" hidden="1" outlineLevel="2" x14ac:dyDescent="0.2">
      <c r="A89" s="121"/>
      <c r="B89" s="121"/>
      <c r="C89" s="121"/>
      <c r="D89" s="121"/>
      <c r="E89" s="121" t="s">
        <v>307</v>
      </c>
      <c r="F89" s="121"/>
      <c r="G89" s="122">
        <v>45533</v>
      </c>
      <c r="H89" s="121"/>
      <c r="I89" s="121" t="s">
        <v>1215</v>
      </c>
      <c r="J89" s="121"/>
      <c r="K89" s="121" t="s">
        <v>394</v>
      </c>
      <c r="L89" s="121"/>
      <c r="M89" s="121" t="s">
        <v>970</v>
      </c>
      <c r="N89" s="121"/>
      <c r="O89" s="121" t="s">
        <v>1214</v>
      </c>
      <c r="P89" s="121"/>
      <c r="Q89" s="112">
        <v>500</v>
      </c>
    </row>
    <row r="90" spans="1:17" ht="12.75" outlineLevel="1" collapsed="1" x14ac:dyDescent="0.2">
      <c r="A90" s="121"/>
      <c r="B90" s="121"/>
      <c r="C90" s="121"/>
      <c r="D90" s="121"/>
      <c r="E90" s="121"/>
      <c r="F90" s="121"/>
      <c r="G90" s="122"/>
      <c r="H90" s="121"/>
      <c r="I90" s="121"/>
      <c r="J90" s="121"/>
      <c r="K90" s="111" t="s">
        <v>1216</v>
      </c>
      <c r="L90" s="121"/>
      <c r="M90" s="121"/>
      <c r="N90" s="121"/>
      <c r="O90" s="121"/>
      <c r="P90" s="121"/>
      <c r="Q90" s="120">
        <f>SUBTOTAL(9,Q89:Q89)</f>
        <v>500</v>
      </c>
    </row>
    <row r="91" spans="1:17" ht="12.75" hidden="1" outlineLevel="2" x14ac:dyDescent="0.2">
      <c r="A91" s="121"/>
      <c r="B91" s="121"/>
      <c r="C91" s="121"/>
      <c r="D91" s="121"/>
      <c r="E91" s="121" t="s">
        <v>307</v>
      </c>
      <c r="F91" s="121"/>
      <c r="G91" s="122">
        <v>45519</v>
      </c>
      <c r="H91" s="121"/>
      <c r="I91" s="121" t="s">
        <v>1170</v>
      </c>
      <c r="J91" s="121"/>
      <c r="K91" s="121" t="s">
        <v>396</v>
      </c>
      <c r="L91" s="121"/>
      <c r="M91" s="121" t="s">
        <v>970</v>
      </c>
      <c r="N91" s="121"/>
      <c r="O91" s="121" t="s">
        <v>1214</v>
      </c>
      <c r="P91" s="121"/>
      <c r="Q91" s="112">
        <v>50</v>
      </c>
    </row>
    <row r="92" spans="1:17" ht="12.75" outlineLevel="1" collapsed="1" x14ac:dyDescent="0.2">
      <c r="A92" s="121"/>
      <c r="B92" s="121"/>
      <c r="C92" s="121"/>
      <c r="D92" s="121"/>
      <c r="E92" s="121"/>
      <c r="F92" s="121"/>
      <c r="G92" s="122"/>
      <c r="H92" s="121"/>
      <c r="I92" s="121"/>
      <c r="J92" s="121"/>
      <c r="K92" s="111" t="s">
        <v>1074</v>
      </c>
      <c r="L92" s="121"/>
      <c r="M92" s="121"/>
      <c r="N92" s="121"/>
      <c r="O92" s="121"/>
      <c r="P92" s="121"/>
      <c r="Q92" s="120">
        <f>SUBTOTAL(9,Q91:Q91)</f>
        <v>50</v>
      </c>
    </row>
    <row r="93" spans="1:17" ht="12.75" hidden="1" outlineLevel="2" x14ac:dyDescent="0.2">
      <c r="A93" s="121"/>
      <c r="B93" s="121"/>
      <c r="C93" s="121"/>
      <c r="D93" s="121"/>
      <c r="E93" s="121" t="s">
        <v>307</v>
      </c>
      <c r="F93" s="121"/>
      <c r="G93" s="122">
        <v>45519</v>
      </c>
      <c r="H93" s="121"/>
      <c r="I93" s="121" t="s">
        <v>1171</v>
      </c>
      <c r="J93" s="121"/>
      <c r="K93" s="121" t="s">
        <v>398</v>
      </c>
      <c r="L93" s="121"/>
      <c r="M93" s="121" t="s">
        <v>970</v>
      </c>
      <c r="N93" s="121"/>
      <c r="O93" s="121" t="s">
        <v>1214</v>
      </c>
      <c r="P93" s="121"/>
      <c r="Q93" s="112">
        <v>916.67</v>
      </c>
    </row>
    <row r="94" spans="1:17" ht="12.75" outlineLevel="1" collapsed="1" x14ac:dyDescent="0.2">
      <c r="A94" s="121"/>
      <c r="B94" s="121"/>
      <c r="C94" s="121"/>
      <c r="D94" s="121"/>
      <c r="E94" s="121"/>
      <c r="F94" s="121"/>
      <c r="G94" s="122"/>
      <c r="H94" s="121"/>
      <c r="I94" s="121"/>
      <c r="J94" s="121"/>
      <c r="K94" s="111" t="s">
        <v>1075</v>
      </c>
      <c r="L94" s="121"/>
      <c r="M94" s="121"/>
      <c r="N94" s="121"/>
      <c r="O94" s="121"/>
      <c r="P94" s="121"/>
      <c r="Q94" s="120">
        <f>SUBTOTAL(9,Q93:Q93)</f>
        <v>916.67</v>
      </c>
    </row>
    <row r="95" spans="1:17" ht="12.75" hidden="1" outlineLevel="2" x14ac:dyDescent="0.2">
      <c r="A95" s="121"/>
      <c r="B95" s="121"/>
      <c r="C95" s="121"/>
      <c r="D95" s="121"/>
      <c r="E95" s="121" t="s">
        <v>307</v>
      </c>
      <c r="F95" s="121"/>
      <c r="G95" s="122">
        <v>45534</v>
      </c>
      <c r="H95" s="121"/>
      <c r="I95" s="121" t="s">
        <v>1172</v>
      </c>
      <c r="J95" s="121"/>
      <c r="K95" s="121" t="s">
        <v>400</v>
      </c>
      <c r="L95" s="121"/>
      <c r="M95" s="121" t="s">
        <v>970</v>
      </c>
      <c r="N95" s="121"/>
      <c r="O95" s="121" t="s">
        <v>1214</v>
      </c>
      <c r="P95" s="121"/>
      <c r="Q95" s="112">
        <v>5725</v>
      </c>
    </row>
    <row r="96" spans="1:17" ht="12.75" outlineLevel="1" collapsed="1" x14ac:dyDescent="0.2">
      <c r="A96" s="121"/>
      <c r="B96" s="121"/>
      <c r="C96" s="121"/>
      <c r="D96" s="121"/>
      <c r="E96" s="121"/>
      <c r="F96" s="121"/>
      <c r="G96" s="122"/>
      <c r="H96" s="121"/>
      <c r="I96" s="121"/>
      <c r="J96" s="121"/>
      <c r="K96" s="111" t="s">
        <v>1076</v>
      </c>
      <c r="L96" s="121"/>
      <c r="M96" s="121"/>
      <c r="N96" s="121"/>
      <c r="O96" s="121"/>
      <c r="P96" s="121"/>
      <c r="Q96" s="120">
        <f>SUBTOTAL(9,Q95:Q95)</f>
        <v>5725</v>
      </c>
    </row>
    <row r="97" spans="1:17" ht="12.75" hidden="1" outlineLevel="2" x14ac:dyDescent="0.2">
      <c r="A97" s="121"/>
      <c r="B97" s="121"/>
      <c r="C97" s="121"/>
      <c r="D97" s="121"/>
      <c r="E97" s="121" t="s">
        <v>307</v>
      </c>
      <c r="F97" s="121"/>
      <c r="G97" s="122">
        <v>45519</v>
      </c>
      <c r="H97" s="121"/>
      <c r="I97" s="121" t="s">
        <v>1173</v>
      </c>
      <c r="J97" s="121"/>
      <c r="K97" s="121" t="s">
        <v>402</v>
      </c>
      <c r="L97" s="121"/>
      <c r="M97" s="121" t="s">
        <v>970</v>
      </c>
      <c r="N97" s="121"/>
      <c r="O97" s="121" t="s">
        <v>1214</v>
      </c>
      <c r="P97" s="121"/>
      <c r="Q97" s="112">
        <v>2500</v>
      </c>
    </row>
    <row r="98" spans="1:17" ht="12.75" outlineLevel="1" collapsed="1" x14ac:dyDescent="0.2">
      <c r="A98" s="121"/>
      <c r="B98" s="121"/>
      <c r="C98" s="121"/>
      <c r="D98" s="121"/>
      <c r="E98" s="121"/>
      <c r="F98" s="121"/>
      <c r="G98" s="122"/>
      <c r="H98" s="121"/>
      <c r="I98" s="121"/>
      <c r="J98" s="121"/>
      <c r="K98" s="111" t="s">
        <v>1077</v>
      </c>
      <c r="L98" s="121"/>
      <c r="M98" s="121"/>
      <c r="N98" s="121"/>
      <c r="O98" s="121"/>
      <c r="P98" s="121"/>
      <c r="Q98" s="120">
        <f>SUBTOTAL(9,Q97:Q97)</f>
        <v>2500</v>
      </c>
    </row>
    <row r="99" spans="1:17" ht="12.75" hidden="1" outlineLevel="2" x14ac:dyDescent="0.2">
      <c r="A99" s="121"/>
      <c r="B99" s="121"/>
      <c r="C99" s="121"/>
      <c r="D99" s="121"/>
      <c r="E99" s="121" t="s">
        <v>307</v>
      </c>
      <c r="F99" s="121"/>
      <c r="G99" s="122">
        <v>45511</v>
      </c>
      <c r="H99" s="121"/>
      <c r="I99" s="121" t="s">
        <v>1174</v>
      </c>
      <c r="J99" s="121"/>
      <c r="K99" s="121" t="s">
        <v>768</v>
      </c>
      <c r="L99" s="121"/>
      <c r="M99" s="121" t="s">
        <v>941</v>
      </c>
      <c r="N99" s="121"/>
      <c r="O99" s="121" t="s">
        <v>1214</v>
      </c>
      <c r="P99" s="121"/>
      <c r="Q99" s="112">
        <v>125</v>
      </c>
    </row>
    <row r="100" spans="1:17" ht="12.75" outlineLevel="1" collapsed="1" x14ac:dyDescent="0.2">
      <c r="A100" s="121"/>
      <c r="B100" s="121"/>
      <c r="C100" s="121"/>
      <c r="D100" s="121"/>
      <c r="E100" s="121"/>
      <c r="F100" s="121"/>
      <c r="G100" s="122"/>
      <c r="H100" s="121"/>
      <c r="I100" s="121"/>
      <c r="J100" s="121"/>
      <c r="K100" s="111" t="s">
        <v>1078</v>
      </c>
      <c r="L100" s="121"/>
      <c r="M100" s="121"/>
      <c r="N100" s="121"/>
      <c r="O100" s="121"/>
      <c r="P100" s="121"/>
      <c r="Q100" s="120">
        <f>SUBTOTAL(9,Q99:Q99)</f>
        <v>125</v>
      </c>
    </row>
    <row r="101" spans="1:17" ht="12.75" hidden="1" outlineLevel="2" x14ac:dyDescent="0.2">
      <c r="A101" s="121"/>
      <c r="B101" s="121"/>
      <c r="C101" s="121"/>
      <c r="D101" s="121"/>
      <c r="E101" s="121" t="s">
        <v>307</v>
      </c>
      <c r="F101" s="121"/>
      <c r="G101" s="122">
        <v>45505</v>
      </c>
      <c r="H101" s="121"/>
      <c r="I101" s="121" t="s">
        <v>1175</v>
      </c>
      <c r="J101" s="121"/>
      <c r="K101" s="121" t="s">
        <v>53</v>
      </c>
      <c r="L101" s="121"/>
      <c r="M101" s="121" t="s">
        <v>987</v>
      </c>
      <c r="N101" s="121"/>
      <c r="O101" s="121" t="s">
        <v>1214</v>
      </c>
      <c r="P101" s="121"/>
      <c r="Q101" s="112">
        <v>300</v>
      </c>
    </row>
    <row r="102" spans="1:17" ht="12.75" outlineLevel="1" collapsed="1" x14ac:dyDescent="0.2">
      <c r="A102" s="121"/>
      <c r="B102" s="121"/>
      <c r="C102" s="121"/>
      <c r="D102" s="121"/>
      <c r="E102" s="121"/>
      <c r="F102" s="121"/>
      <c r="G102" s="122"/>
      <c r="H102" s="121"/>
      <c r="I102" s="121"/>
      <c r="J102" s="121"/>
      <c r="K102" s="111" t="s">
        <v>1116</v>
      </c>
      <c r="L102" s="121"/>
      <c r="M102" s="121"/>
      <c r="N102" s="121"/>
      <c r="O102" s="121"/>
      <c r="P102" s="121"/>
      <c r="Q102" s="120">
        <f>SUBTOTAL(9,Q101:Q101)</f>
        <v>300</v>
      </c>
    </row>
    <row r="103" spans="1:17" ht="12.75" hidden="1" outlineLevel="2" x14ac:dyDescent="0.2">
      <c r="A103" s="121"/>
      <c r="B103" s="121"/>
      <c r="C103" s="121"/>
      <c r="D103" s="121"/>
      <c r="E103" s="121" t="s">
        <v>307</v>
      </c>
      <c r="F103" s="121"/>
      <c r="G103" s="122">
        <v>45519</v>
      </c>
      <c r="H103" s="121"/>
      <c r="I103" s="121" t="s">
        <v>1176</v>
      </c>
      <c r="J103" s="121"/>
      <c r="K103" s="121" t="s">
        <v>404</v>
      </c>
      <c r="L103" s="121"/>
      <c r="M103" s="121" t="s">
        <v>970</v>
      </c>
      <c r="N103" s="121"/>
      <c r="O103" s="121" t="s">
        <v>1214</v>
      </c>
      <c r="P103" s="121"/>
      <c r="Q103" s="112">
        <v>583.34</v>
      </c>
    </row>
    <row r="104" spans="1:17" ht="12.75" outlineLevel="1" collapsed="1" x14ac:dyDescent="0.2">
      <c r="A104" s="121"/>
      <c r="B104" s="121"/>
      <c r="C104" s="121"/>
      <c r="D104" s="121"/>
      <c r="E104" s="121"/>
      <c r="F104" s="121"/>
      <c r="G104" s="122"/>
      <c r="H104" s="121"/>
      <c r="I104" s="121"/>
      <c r="J104" s="121"/>
      <c r="K104" s="111" t="s">
        <v>1079</v>
      </c>
      <c r="L104" s="121"/>
      <c r="M104" s="121"/>
      <c r="N104" s="121"/>
      <c r="O104" s="121"/>
      <c r="P104" s="121"/>
      <c r="Q104" s="120">
        <f>SUBTOTAL(9,Q103:Q103)</f>
        <v>583.34</v>
      </c>
    </row>
    <row r="105" spans="1:17" ht="12.75" hidden="1" outlineLevel="2" x14ac:dyDescent="0.2">
      <c r="A105" s="121"/>
      <c r="B105" s="121"/>
      <c r="C105" s="121"/>
      <c r="D105" s="121"/>
      <c r="E105" s="121" t="s">
        <v>307</v>
      </c>
      <c r="F105" s="121"/>
      <c r="G105" s="122">
        <v>45513</v>
      </c>
      <c r="H105" s="121"/>
      <c r="I105" s="121" t="s">
        <v>1177</v>
      </c>
      <c r="J105" s="121"/>
      <c r="K105" s="121" t="s">
        <v>406</v>
      </c>
      <c r="L105" s="121"/>
      <c r="M105" s="121" t="s">
        <v>970</v>
      </c>
      <c r="N105" s="121"/>
      <c r="O105" s="121" t="s">
        <v>1214</v>
      </c>
      <c r="P105" s="121"/>
      <c r="Q105" s="112">
        <v>3750</v>
      </c>
    </row>
    <row r="106" spans="1:17" ht="12.75" outlineLevel="1" collapsed="1" x14ac:dyDescent="0.2">
      <c r="A106" s="121"/>
      <c r="B106" s="121"/>
      <c r="C106" s="121"/>
      <c r="D106" s="121"/>
      <c r="E106" s="121"/>
      <c r="F106" s="121"/>
      <c r="G106" s="122"/>
      <c r="H106" s="121"/>
      <c r="I106" s="121"/>
      <c r="J106" s="121"/>
      <c r="K106" s="111" t="s">
        <v>1080</v>
      </c>
      <c r="L106" s="121"/>
      <c r="M106" s="121"/>
      <c r="N106" s="121"/>
      <c r="O106" s="121"/>
      <c r="P106" s="121"/>
      <c r="Q106" s="120">
        <f>SUBTOTAL(9,Q105:Q105)</f>
        <v>3750</v>
      </c>
    </row>
    <row r="107" spans="1:17" ht="12.75" hidden="1" outlineLevel="2" x14ac:dyDescent="0.2">
      <c r="A107" s="121"/>
      <c r="B107" s="121"/>
      <c r="C107" s="121"/>
      <c r="D107" s="121"/>
      <c r="E107" s="121" t="s">
        <v>307</v>
      </c>
      <c r="F107" s="121"/>
      <c r="G107" s="122">
        <v>45506</v>
      </c>
      <c r="H107" s="121"/>
      <c r="I107" s="121" t="s">
        <v>1178</v>
      </c>
      <c r="J107" s="121"/>
      <c r="K107" s="121" t="s">
        <v>171</v>
      </c>
      <c r="L107" s="121"/>
      <c r="M107" s="121" t="s">
        <v>941</v>
      </c>
      <c r="N107" s="121"/>
      <c r="O107" s="121" t="s">
        <v>1214</v>
      </c>
      <c r="P107" s="121"/>
      <c r="Q107" s="112">
        <v>750</v>
      </c>
    </row>
    <row r="108" spans="1:17" ht="12.75" outlineLevel="1" collapsed="1" x14ac:dyDescent="0.2">
      <c r="A108" s="121"/>
      <c r="B108" s="121"/>
      <c r="C108" s="121"/>
      <c r="D108" s="121"/>
      <c r="E108" s="121"/>
      <c r="F108" s="121"/>
      <c r="G108" s="122"/>
      <c r="H108" s="121"/>
      <c r="I108" s="121"/>
      <c r="J108" s="121"/>
      <c r="K108" s="111" t="s">
        <v>1081</v>
      </c>
      <c r="L108" s="121"/>
      <c r="M108" s="121"/>
      <c r="N108" s="121"/>
      <c r="O108" s="121"/>
      <c r="P108" s="121"/>
      <c r="Q108" s="120">
        <f>SUBTOTAL(9,Q107:Q107)</f>
        <v>750</v>
      </c>
    </row>
    <row r="109" spans="1:17" ht="12.75" hidden="1" outlineLevel="2" x14ac:dyDescent="0.2">
      <c r="A109" s="121"/>
      <c r="B109" s="121"/>
      <c r="C109" s="121"/>
      <c r="D109" s="121"/>
      <c r="E109" s="121" t="s">
        <v>307</v>
      </c>
      <c r="F109" s="121"/>
      <c r="G109" s="122">
        <v>45510</v>
      </c>
      <c r="H109" s="121"/>
      <c r="I109" s="121" t="s">
        <v>1179</v>
      </c>
      <c r="J109" s="121"/>
      <c r="K109" s="121" t="s">
        <v>409</v>
      </c>
      <c r="L109" s="121"/>
      <c r="M109" s="121" t="s">
        <v>941</v>
      </c>
      <c r="N109" s="121"/>
      <c r="O109" s="121" t="s">
        <v>1214</v>
      </c>
      <c r="P109" s="121"/>
      <c r="Q109" s="112">
        <v>2278.31</v>
      </c>
    </row>
    <row r="110" spans="1:17" ht="12.75" outlineLevel="1" collapsed="1" x14ac:dyDescent="0.2">
      <c r="A110" s="121"/>
      <c r="B110" s="121"/>
      <c r="C110" s="121"/>
      <c r="D110" s="121"/>
      <c r="E110" s="121"/>
      <c r="F110" s="121"/>
      <c r="G110" s="122"/>
      <c r="H110" s="121"/>
      <c r="I110" s="121"/>
      <c r="J110" s="121"/>
      <c r="K110" s="111" t="s">
        <v>1082</v>
      </c>
      <c r="L110" s="121"/>
      <c r="M110" s="121"/>
      <c r="N110" s="121"/>
      <c r="O110" s="121"/>
      <c r="P110" s="121"/>
      <c r="Q110" s="120">
        <f>SUBTOTAL(9,Q109:Q109)</f>
        <v>2278.31</v>
      </c>
    </row>
    <row r="111" spans="1:17" ht="12.75" hidden="1" outlineLevel="2" x14ac:dyDescent="0.2">
      <c r="A111" s="121"/>
      <c r="B111" s="121"/>
      <c r="C111" s="121"/>
      <c r="D111" s="121"/>
      <c r="E111" s="121" t="s">
        <v>307</v>
      </c>
      <c r="F111" s="121"/>
      <c r="G111" s="122">
        <v>45505</v>
      </c>
      <c r="H111" s="121"/>
      <c r="I111" s="121" t="s">
        <v>1180</v>
      </c>
      <c r="J111" s="121"/>
      <c r="K111" s="121" t="s">
        <v>800</v>
      </c>
      <c r="L111" s="121"/>
      <c r="M111" s="121" t="s">
        <v>970</v>
      </c>
      <c r="N111" s="121"/>
      <c r="O111" s="121" t="s">
        <v>1214</v>
      </c>
      <c r="P111" s="121"/>
      <c r="Q111" s="112">
        <v>167</v>
      </c>
    </row>
    <row r="112" spans="1:17" ht="12.75" outlineLevel="1" collapsed="1" x14ac:dyDescent="0.2">
      <c r="A112" s="121"/>
      <c r="B112" s="121"/>
      <c r="C112" s="121"/>
      <c r="D112" s="121"/>
      <c r="E112" s="121"/>
      <c r="F112" s="121"/>
      <c r="G112" s="122"/>
      <c r="H112" s="121"/>
      <c r="I112" s="121"/>
      <c r="J112" s="121"/>
      <c r="K112" s="111" t="s">
        <v>1083</v>
      </c>
      <c r="L112" s="121"/>
      <c r="M112" s="121"/>
      <c r="N112" s="121"/>
      <c r="O112" s="121"/>
      <c r="P112" s="121"/>
      <c r="Q112" s="120">
        <f>SUBTOTAL(9,Q111:Q111)</f>
        <v>167</v>
      </c>
    </row>
    <row r="113" spans="1:17" ht="12.75" hidden="1" outlineLevel="2" x14ac:dyDescent="0.2">
      <c r="A113" s="121"/>
      <c r="B113" s="121"/>
      <c r="C113" s="121"/>
      <c r="D113" s="121"/>
      <c r="E113" s="121" t="s">
        <v>307</v>
      </c>
      <c r="F113" s="121"/>
      <c r="G113" s="122">
        <v>45520</v>
      </c>
      <c r="H113" s="121"/>
      <c r="I113" s="121" t="s">
        <v>1181</v>
      </c>
      <c r="J113" s="121"/>
      <c r="K113" s="121" t="s">
        <v>411</v>
      </c>
      <c r="L113" s="121"/>
      <c r="M113" s="121" t="s">
        <v>941</v>
      </c>
      <c r="N113" s="121"/>
      <c r="O113" s="121" t="s">
        <v>1214</v>
      </c>
      <c r="P113" s="121"/>
      <c r="Q113" s="112">
        <v>100</v>
      </c>
    </row>
    <row r="114" spans="1:17" ht="12.75" outlineLevel="1" collapsed="1" x14ac:dyDescent="0.2">
      <c r="A114" s="121"/>
      <c r="B114" s="121"/>
      <c r="C114" s="121"/>
      <c r="D114" s="121"/>
      <c r="E114" s="121"/>
      <c r="F114" s="121"/>
      <c r="G114" s="122"/>
      <c r="H114" s="121"/>
      <c r="I114" s="121"/>
      <c r="J114" s="121"/>
      <c r="K114" s="111" t="s">
        <v>1084</v>
      </c>
      <c r="L114" s="121"/>
      <c r="M114" s="121"/>
      <c r="N114" s="121"/>
      <c r="O114" s="121"/>
      <c r="P114" s="121"/>
      <c r="Q114" s="120">
        <f>SUBTOTAL(9,Q113:Q113)</f>
        <v>100</v>
      </c>
    </row>
    <row r="115" spans="1:17" ht="12.75" hidden="1" outlineLevel="2" x14ac:dyDescent="0.2">
      <c r="A115" s="121"/>
      <c r="B115" s="121"/>
      <c r="C115" s="121"/>
      <c r="D115" s="121"/>
      <c r="E115" s="121" t="s">
        <v>307</v>
      </c>
      <c r="F115" s="121"/>
      <c r="G115" s="122">
        <v>45517</v>
      </c>
      <c r="H115" s="121"/>
      <c r="I115" s="121" t="s">
        <v>1182</v>
      </c>
      <c r="J115" s="121"/>
      <c r="K115" s="121" t="s">
        <v>812</v>
      </c>
      <c r="L115" s="121"/>
      <c r="M115" s="121" t="s">
        <v>970</v>
      </c>
      <c r="N115" s="121"/>
      <c r="O115" s="121" t="s">
        <v>1214</v>
      </c>
      <c r="P115" s="121"/>
      <c r="Q115" s="112">
        <v>233.33</v>
      </c>
    </row>
    <row r="116" spans="1:17" ht="12.75" outlineLevel="1" collapsed="1" x14ac:dyDescent="0.2">
      <c r="A116" s="121"/>
      <c r="B116" s="121"/>
      <c r="C116" s="121"/>
      <c r="D116" s="121"/>
      <c r="E116" s="121"/>
      <c r="F116" s="121"/>
      <c r="G116" s="122"/>
      <c r="H116" s="121"/>
      <c r="I116" s="121"/>
      <c r="J116" s="121"/>
      <c r="K116" s="111" t="s">
        <v>1085</v>
      </c>
      <c r="L116" s="121"/>
      <c r="M116" s="121"/>
      <c r="N116" s="121"/>
      <c r="O116" s="121"/>
      <c r="P116" s="121"/>
      <c r="Q116" s="120">
        <f>SUBTOTAL(9,Q115:Q115)</f>
        <v>233.33</v>
      </c>
    </row>
    <row r="117" spans="1:17" ht="12.75" hidden="1" outlineLevel="2" x14ac:dyDescent="0.2">
      <c r="A117" s="121"/>
      <c r="B117" s="121"/>
      <c r="C117" s="121"/>
      <c r="D117" s="121"/>
      <c r="E117" s="121" t="s">
        <v>307</v>
      </c>
      <c r="F117" s="121"/>
      <c r="G117" s="122">
        <v>45517</v>
      </c>
      <c r="H117" s="121"/>
      <c r="I117" s="121" t="s">
        <v>1183</v>
      </c>
      <c r="J117" s="121"/>
      <c r="K117" s="121" t="s">
        <v>413</v>
      </c>
      <c r="L117" s="121"/>
      <c r="M117" s="121" t="s">
        <v>1184</v>
      </c>
      <c r="N117" s="121"/>
      <c r="O117" s="121" t="s">
        <v>1214</v>
      </c>
      <c r="P117" s="121"/>
      <c r="Q117" s="112">
        <v>10400</v>
      </c>
    </row>
    <row r="118" spans="1:17" ht="12.75" hidden="1" outlineLevel="2" x14ac:dyDescent="0.2">
      <c r="A118" s="121"/>
      <c r="B118" s="121"/>
      <c r="C118" s="121"/>
      <c r="D118" s="121"/>
      <c r="E118" s="121" t="s">
        <v>307</v>
      </c>
      <c r="F118" s="121"/>
      <c r="G118" s="122">
        <v>45517</v>
      </c>
      <c r="H118" s="121"/>
      <c r="I118" s="121" t="s">
        <v>1185</v>
      </c>
      <c r="J118" s="121"/>
      <c r="K118" s="121" t="s">
        <v>413</v>
      </c>
      <c r="L118" s="121"/>
      <c r="M118" s="121" t="s">
        <v>1186</v>
      </c>
      <c r="N118" s="121"/>
      <c r="O118" s="121" t="s">
        <v>1214</v>
      </c>
      <c r="P118" s="121"/>
      <c r="Q118" s="112">
        <v>12500</v>
      </c>
    </row>
    <row r="119" spans="1:17" ht="12.75" outlineLevel="1" collapsed="1" x14ac:dyDescent="0.2">
      <c r="A119" s="121"/>
      <c r="B119" s="121"/>
      <c r="C119" s="121"/>
      <c r="D119" s="121"/>
      <c r="E119" s="121"/>
      <c r="F119" s="121"/>
      <c r="G119" s="122"/>
      <c r="H119" s="121"/>
      <c r="I119" s="121"/>
      <c r="J119" s="121"/>
      <c r="K119" s="111" t="s">
        <v>1086</v>
      </c>
      <c r="L119" s="121"/>
      <c r="M119" s="121"/>
      <c r="N119" s="121"/>
      <c r="O119" s="121"/>
      <c r="P119" s="121"/>
      <c r="Q119" s="120">
        <f>SUBTOTAL(9,Q117:Q118)</f>
        <v>22900</v>
      </c>
    </row>
    <row r="120" spans="1:17" ht="12.75" hidden="1" outlineLevel="2" x14ac:dyDescent="0.2">
      <c r="A120" s="121"/>
      <c r="B120" s="121"/>
      <c r="C120" s="121"/>
      <c r="D120" s="121"/>
      <c r="E120" s="121" t="s">
        <v>307</v>
      </c>
      <c r="F120" s="121"/>
      <c r="G120" s="122">
        <v>45512</v>
      </c>
      <c r="H120" s="121"/>
      <c r="I120" s="121" t="s">
        <v>1187</v>
      </c>
      <c r="J120" s="121"/>
      <c r="K120" s="121" t="s">
        <v>416</v>
      </c>
      <c r="L120" s="121"/>
      <c r="M120" s="121" t="s">
        <v>941</v>
      </c>
      <c r="N120" s="121"/>
      <c r="O120" s="121" t="s">
        <v>1214</v>
      </c>
      <c r="P120" s="121"/>
      <c r="Q120" s="112">
        <v>833.34</v>
      </c>
    </row>
    <row r="121" spans="1:17" ht="12.75" outlineLevel="1" collapsed="1" x14ac:dyDescent="0.2">
      <c r="A121" s="121"/>
      <c r="B121" s="121"/>
      <c r="C121" s="121"/>
      <c r="D121" s="121"/>
      <c r="E121" s="121"/>
      <c r="F121" s="121"/>
      <c r="G121" s="122"/>
      <c r="H121" s="121"/>
      <c r="I121" s="121"/>
      <c r="J121" s="121"/>
      <c r="K121" s="111" t="s">
        <v>1087</v>
      </c>
      <c r="L121" s="121"/>
      <c r="M121" s="121"/>
      <c r="N121" s="121"/>
      <c r="O121" s="121"/>
      <c r="P121" s="121"/>
      <c r="Q121" s="120">
        <f>SUBTOTAL(9,Q120:Q120)</f>
        <v>833.34</v>
      </c>
    </row>
    <row r="122" spans="1:17" ht="12.75" hidden="1" outlineLevel="2" x14ac:dyDescent="0.2">
      <c r="A122" s="121"/>
      <c r="B122" s="121"/>
      <c r="C122" s="121"/>
      <c r="D122" s="121"/>
      <c r="E122" s="121" t="s">
        <v>307</v>
      </c>
      <c r="F122" s="121"/>
      <c r="G122" s="122">
        <v>45519</v>
      </c>
      <c r="H122" s="121"/>
      <c r="I122" s="121" t="s">
        <v>1188</v>
      </c>
      <c r="J122" s="121"/>
      <c r="K122" s="121" t="s">
        <v>418</v>
      </c>
      <c r="L122" s="121"/>
      <c r="M122" s="121" t="s">
        <v>970</v>
      </c>
      <c r="N122" s="121"/>
      <c r="O122" s="121" t="s">
        <v>1214</v>
      </c>
      <c r="P122" s="121"/>
      <c r="Q122" s="112">
        <v>3083.33</v>
      </c>
    </row>
    <row r="123" spans="1:17" ht="12.75" outlineLevel="1" collapsed="1" x14ac:dyDescent="0.2">
      <c r="A123" s="121"/>
      <c r="B123" s="121"/>
      <c r="C123" s="121"/>
      <c r="D123" s="121"/>
      <c r="E123" s="121"/>
      <c r="F123" s="121"/>
      <c r="G123" s="122"/>
      <c r="H123" s="121"/>
      <c r="I123" s="121"/>
      <c r="J123" s="121"/>
      <c r="K123" s="111" t="s">
        <v>1088</v>
      </c>
      <c r="L123" s="121"/>
      <c r="M123" s="121"/>
      <c r="N123" s="121"/>
      <c r="O123" s="121"/>
      <c r="P123" s="121"/>
      <c r="Q123" s="120">
        <f>SUBTOTAL(9,Q122:Q122)</f>
        <v>3083.33</v>
      </c>
    </row>
    <row r="124" spans="1:17" ht="12.75" hidden="1" outlineLevel="2" x14ac:dyDescent="0.2">
      <c r="A124" s="121"/>
      <c r="B124" s="121"/>
      <c r="C124" s="121"/>
      <c r="D124" s="121"/>
      <c r="E124" s="121" t="s">
        <v>307</v>
      </c>
      <c r="F124" s="121"/>
      <c r="G124" s="122">
        <v>45505</v>
      </c>
      <c r="H124" s="121"/>
      <c r="I124" s="121" t="s">
        <v>1189</v>
      </c>
      <c r="J124" s="121"/>
      <c r="K124" s="121" t="s">
        <v>157</v>
      </c>
      <c r="L124" s="121"/>
      <c r="M124" s="121" t="s">
        <v>970</v>
      </c>
      <c r="N124" s="121"/>
      <c r="O124" s="121" t="s">
        <v>1214</v>
      </c>
      <c r="P124" s="121"/>
      <c r="Q124" s="112">
        <v>450</v>
      </c>
    </row>
    <row r="125" spans="1:17" ht="12.75" outlineLevel="1" collapsed="1" x14ac:dyDescent="0.2">
      <c r="A125" s="121"/>
      <c r="B125" s="121"/>
      <c r="C125" s="121"/>
      <c r="D125" s="121"/>
      <c r="E125" s="121"/>
      <c r="F125" s="121"/>
      <c r="G125" s="122"/>
      <c r="H125" s="121"/>
      <c r="I125" s="121"/>
      <c r="J125" s="121"/>
      <c r="K125" s="111" t="s">
        <v>1089</v>
      </c>
      <c r="L125" s="121"/>
      <c r="M125" s="121"/>
      <c r="N125" s="121"/>
      <c r="O125" s="121"/>
      <c r="P125" s="121"/>
      <c r="Q125" s="120">
        <f>SUBTOTAL(9,Q124:Q124)</f>
        <v>450</v>
      </c>
    </row>
    <row r="126" spans="1:17" ht="12.75" hidden="1" outlineLevel="2" x14ac:dyDescent="0.2">
      <c r="A126" s="121"/>
      <c r="B126" s="121"/>
      <c r="C126" s="121"/>
      <c r="D126" s="121"/>
      <c r="E126" s="121" t="s">
        <v>307</v>
      </c>
      <c r="F126" s="121"/>
      <c r="G126" s="122">
        <v>45519</v>
      </c>
      <c r="H126" s="121"/>
      <c r="I126" s="121" t="s">
        <v>1190</v>
      </c>
      <c r="J126" s="121"/>
      <c r="K126" s="121" t="s">
        <v>287</v>
      </c>
      <c r="L126" s="121"/>
      <c r="M126" s="121" t="s">
        <v>970</v>
      </c>
      <c r="N126" s="121"/>
      <c r="O126" s="121" t="s">
        <v>1214</v>
      </c>
      <c r="P126" s="121"/>
      <c r="Q126" s="112">
        <v>500</v>
      </c>
    </row>
    <row r="127" spans="1:17" ht="12.75" outlineLevel="1" collapsed="1" x14ac:dyDescent="0.2">
      <c r="A127" s="121"/>
      <c r="B127" s="121"/>
      <c r="C127" s="121"/>
      <c r="D127" s="121"/>
      <c r="E127" s="121"/>
      <c r="F127" s="121"/>
      <c r="G127" s="122"/>
      <c r="H127" s="121"/>
      <c r="I127" s="121"/>
      <c r="J127" s="121"/>
      <c r="K127" s="111" t="s">
        <v>1090</v>
      </c>
      <c r="L127" s="121"/>
      <c r="M127" s="121"/>
      <c r="N127" s="121"/>
      <c r="O127" s="121"/>
      <c r="P127" s="121"/>
      <c r="Q127" s="120">
        <f>SUBTOTAL(9,Q126:Q126)</f>
        <v>500</v>
      </c>
    </row>
    <row r="128" spans="1:17" ht="12.75" hidden="1" outlineLevel="2" x14ac:dyDescent="0.2">
      <c r="A128" s="121"/>
      <c r="B128" s="121"/>
      <c r="C128" s="121"/>
      <c r="D128" s="121"/>
      <c r="E128" s="121" t="s">
        <v>307</v>
      </c>
      <c r="F128" s="121"/>
      <c r="G128" s="122">
        <v>45519</v>
      </c>
      <c r="H128" s="121"/>
      <c r="I128" s="121" t="s">
        <v>1191</v>
      </c>
      <c r="J128" s="121"/>
      <c r="K128" s="121" t="s">
        <v>430</v>
      </c>
      <c r="L128" s="121"/>
      <c r="M128" s="121" t="s">
        <v>970</v>
      </c>
      <c r="N128" s="121"/>
      <c r="O128" s="121" t="s">
        <v>1214</v>
      </c>
      <c r="P128" s="121"/>
      <c r="Q128" s="112">
        <v>875</v>
      </c>
    </row>
    <row r="129" spans="1:17" ht="12.75" outlineLevel="1" collapsed="1" x14ac:dyDescent="0.2">
      <c r="A129" s="121"/>
      <c r="B129" s="121"/>
      <c r="C129" s="121"/>
      <c r="D129" s="121"/>
      <c r="E129" s="121"/>
      <c r="F129" s="121"/>
      <c r="G129" s="122"/>
      <c r="H129" s="121"/>
      <c r="I129" s="121"/>
      <c r="J129" s="121"/>
      <c r="K129" s="111" t="s">
        <v>1091</v>
      </c>
      <c r="L129" s="121"/>
      <c r="M129" s="121"/>
      <c r="N129" s="121"/>
      <c r="O129" s="121"/>
      <c r="P129" s="121"/>
      <c r="Q129" s="120">
        <f>SUBTOTAL(9,Q128:Q128)</f>
        <v>875</v>
      </c>
    </row>
    <row r="130" spans="1:17" ht="12.75" hidden="1" outlineLevel="2" x14ac:dyDescent="0.2">
      <c r="A130" s="121"/>
      <c r="B130" s="121"/>
      <c r="C130" s="121"/>
      <c r="D130" s="121"/>
      <c r="E130" s="121" t="s">
        <v>307</v>
      </c>
      <c r="F130" s="121"/>
      <c r="G130" s="122">
        <v>45505</v>
      </c>
      <c r="H130" s="121"/>
      <c r="I130" s="121" t="s">
        <v>1192</v>
      </c>
      <c r="J130" s="121"/>
      <c r="K130" s="121" t="s">
        <v>432</v>
      </c>
      <c r="L130" s="121"/>
      <c r="M130" s="121" t="s">
        <v>970</v>
      </c>
      <c r="N130" s="121"/>
      <c r="O130" s="121" t="s">
        <v>1214</v>
      </c>
      <c r="P130" s="121"/>
      <c r="Q130" s="112">
        <v>416.67</v>
      </c>
    </row>
    <row r="131" spans="1:17" ht="12.75" outlineLevel="1" collapsed="1" x14ac:dyDescent="0.2">
      <c r="A131" s="121"/>
      <c r="B131" s="121"/>
      <c r="C131" s="121"/>
      <c r="D131" s="121"/>
      <c r="E131" s="121"/>
      <c r="F131" s="121"/>
      <c r="G131" s="122"/>
      <c r="H131" s="121"/>
      <c r="I131" s="121"/>
      <c r="J131" s="121"/>
      <c r="K131" s="111" t="s">
        <v>1092</v>
      </c>
      <c r="L131" s="121"/>
      <c r="M131" s="121"/>
      <c r="N131" s="121"/>
      <c r="O131" s="121"/>
      <c r="P131" s="121"/>
      <c r="Q131" s="120">
        <f>SUBTOTAL(9,Q130:Q130)</f>
        <v>416.67</v>
      </c>
    </row>
    <row r="132" spans="1:17" ht="12.75" hidden="1" outlineLevel="2" x14ac:dyDescent="0.2">
      <c r="A132" s="121"/>
      <c r="B132" s="121"/>
      <c r="C132" s="121"/>
      <c r="D132" s="121"/>
      <c r="E132" s="121" t="s">
        <v>307</v>
      </c>
      <c r="F132" s="121"/>
      <c r="G132" s="122">
        <v>45532</v>
      </c>
      <c r="H132" s="121"/>
      <c r="I132" s="121" t="s">
        <v>1193</v>
      </c>
      <c r="J132" s="121"/>
      <c r="K132" s="121" t="s">
        <v>434</v>
      </c>
      <c r="L132" s="121"/>
      <c r="M132" s="121" t="s">
        <v>941</v>
      </c>
      <c r="N132" s="121"/>
      <c r="O132" s="121" t="s">
        <v>1214</v>
      </c>
      <c r="P132" s="121"/>
      <c r="Q132" s="112">
        <v>3125</v>
      </c>
    </row>
    <row r="133" spans="1:17" ht="12.75" hidden="1" outlineLevel="2" x14ac:dyDescent="0.2">
      <c r="A133" s="121"/>
      <c r="B133" s="121"/>
      <c r="C133" s="121"/>
      <c r="D133" s="121"/>
      <c r="E133" s="121" t="s">
        <v>307</v>
      </c>
      <c r="F133" s="121"/>
      <c r="G133" s="122">
        <v>45532</v>
      </c>
      <c r="H133" s="121"/>
      <c r="I133" s="121" t="s">
        <v>1194</v>
      </c>
      <c r="J133" s="121"/>
      <c r="K133" s="121" t="s">
        <v>434</v>
      </c>
      <c r="L133" s="121"/>
      <c r="M133" s="121" t="s">
        <v>970</v>
      </c>
      <c r="N133" s="121"/>
      <c r="O133" s="121" t="s">
        <v>1214</v>
      </c>
      <c r="P133" s="121"/>
      <c r="Q133" s="112">
        <v>3125</v>
      </c>
    </row>
    <row r="134" spans="1:17" ht="12.75" outlineLevel="1" collapsed="1" x14ac:dyDescent="0.2">
      <c r="A134" s="121"/>
      <c r="B134" s="121"/>
      <c r="C134" s="121"/>
      <c r="D134" s="121"/>
      <c r="E134" s="121"/>
      <c r="F134" s="121"/>
      <c r="G134" s="122"/>
      <c r="H134" s="121"/>
      <c r="I134" s="121"/>
      <c r="J134" s="121"/>
      <c r="K134" s="111" t="s">
        <v>1117</v>
      </c>
      <c r="L134" s="121"/>
      <c r="M134" s="121"/>
      <c r="N134" s="121"/>
      <c r="O134" s="121"/>
      <c r="P134" s="121"/>
      <c r="Q134" s="120">
        <f>SUBTOTAL(9,Q132:Q133)</f>
        <v>6250</v>
      </c>
    </row>
    <row r="135" spans="1:17" ht="12.75" hidden="1" outlineLevel="2" x14ac:dyDescent="0.2">
      <c r="A135" s="121"/>
      <c r="B135" s="121"/>
      <c r="C135" s="121"/>
      <c r="D135" s="121"/>
      <c r="E135" s="121" t="s">
        <v>307</v>
      </c>
      <c r="F135" s="121"/>
      <c r="G135" s="122">
        <v>45523</v>
      </c>
      <c r="H135" s="121"/>
      <c r="I135" s="121" t="s">
        <v>1195</v>
      </c>
      <c r="J135" s="121"/>
      <c r="K135" s="121" t="s">
        <v>436</v>
      </c>
      <c r="L135" s="121"/>
      <c r="M135" s="121" t="s">
        <v>941</v>
      </c>
      <c r="N135" s="121"/>
      <c r="O135" s="121" t="s">
        <v>1214</v>
      </c>
      <c r="P135" s="121"/>
      <c r="Q135" s="112">
        <v>1521.16</v>
      </c>
    </row>
    <row r="136" spans="1:17" ht="12.75" outlineLevel="1" collapsed="1" x14ac:dyDescent="0.2">
      <c r="A136" s="121"/>
      <c r="B136" s="121"/>
      <c r="C136" s="121"/>
      <c r="D136" s="121"/>
      <c r="E136" s="121"/>
      <c r="F136" s="121"/>
      <c r="G136" s="122"/>
      <c r="H136" s="121"/>
      <c r="I136" s="121"/>
      <c r="J136" s="121"/>
      <c r="K136" s="111" t="s">
        <v>1093</v>
      </c>
      <c r="L136" s="121"/>
      <c r="M136" s="121"/>
      <c r="N136" s="121"/>
      <c r="O136" s="121"/>
      <c r="P136" s="121"/>
      <c r="Q136" s="120">
        <f>SUBTOTAL(9,Q135:Q135)</f>
        <v>1521.16</v>
      </c>
    </row>
    <row r="137" spans="1:17" ht="12.75" hidden="1" outlineLevel="2" x14ac:dyDescent="0.2">
      <c r="A137" s="121"/>
      <c r="B137" s="121"/>
      <c r="C137" s="121"/>
      <c r="D137" s="121"/>
      <c r="E137" s="121" t="s">
        <v>307</v>
      </c>
      <c r="F137" s="121"/>
      <c r="G137" s="122">
        <v>45510</v>
      </c>
      <c r="H137" s="121"/>
      <c r="I137" s="121" t="s">
        <v>1196</v>
      </c>
      <c r="J137" s="121"/>
      <c r="K137" s="121" t="s">
        <v>292</v>
      </c>
      <c r="L137" s="121"/>
      <c r="M137" s="121" t="s">
        <v>941</v>
      </c>
      <c r="N137" s="121"/>
      <c r="O137" s="121" t="s">
        <v>1214</v>
      </c>
      <c r="P137" s="121"/>
      <c r="Q137" s="112">
        <v>100</v>
      </c>
    </row>
    <row r="138" spans="1:17" ht="12.75" outlineLevel="1" collapsed="1" x14ac:dyDescent="0.2">
      <c r="A138" s="121"/>
      <c r="B138" s="121"/>
      <c r="C138" s="121"/>
      <c r="D138" s="121"/>
      <c r="E138" s="121"/>
      <c r="F138" s="121"/>
      <c r="G138" s="122"/>
      <c r="H138" s="121"/>
      <c r="I138" s="121"/>
      <c r="J138" s="121"/>
      <c r="K138" s="111" t="s">
        <v>1094</v>
      </c>
      <c r="L138" s="121"/>
      <c r="M138" s="121"/>
      <c r="N138" s="121"/>
      <c r="O138" s="121"/>
      <c r="P138" s="121"/>
      <c r="Q138" s="120">
        <f>SUBTOTAL(9,Q137:Q137)</f>
        <v>100</v>
      </c>
    </row>
    <row r="139" spans="1:17" ht="12.75" hidden="1" outlineLevel="2" x14ac:dyDescent="0.2">
      <c r="A139" s="121"/>
      <c r="B139" s="121"/>
      <c r="C139" s="121"/>
      <c r="D139" s="121"/>
      <c r="E139" s="121" t="s">
        <v>307</v>
      </c>
      <c r="F139" s="121"/>
      <c r="G139" s="122">
        <v>45518</v>
      </c>
      <c r="H139" s="121"/>
      <c r="I139" s="121" t="s">
        <v>1197</v>
      </c>
      <c r="J139" s="121"/>
      <c r="K139" s="121" t="s">
        <v>439</v>
      </c>
      <c r="L139" s="121"/>
      <c r="M139" s="121" t="s">
        <v>941</v>
      </c>
      <c r="N139" s="121"/>
      <c r="O139" s="121" t="s">
        <v>1214</v>
      </c>
      <c r="P139" s="121"/>
      <c r="Q139" s="112">
        <v>400</v>
      </c>
    </row>
    <row r="140" spans="1:17" ht="12.75" hidden="1" outlineLevel="2" x14ac:dyDescent="0.2">
      <c r="A140" s="121"/>
      <c r="B140" s="121"/>
      <c r="C140" s="121"/>
      <c r="D140" s="121"/>
      <c r="E140" s="121" t="s">
        <v>307</v>
      </c>
      <c r="F140" s="121"/>
      <c r="G140" s="122">
        <v>45518</v>
      </c>
      <c r="H140" s="121"/>
      <c r="I140" s="121" t="s">
        <v>1198</v>
      </c>
      <c r="J140" s="121"/>
      <c r="K140" s="121" t="s">
        <v>439</v>
      </c>
      <c r="L140" s="121"/>
      <c r="M140" s="121" t="s">
        <v>970</v>
      </c>
      <c r="N140" s="121"/>
      <c r="O140" s="121" t="s">
        <v>1214</v>
      </c>
      <c r="P140" s="121"/>
      <c r="Q140" s="112">
        <v>400</v>
      </c>
    </row>
    <row r="141" spans="1:17" ht="12.75" outlineLevel="1" collapsed="1" x14ac:dyDescent="0.2">
      <c r="A141" s="121"/>
      <c r="B141" s="121"/>
      <c r="C141" s="121"/>
      <c r="D141" s="121"/>
      <c r="E141" s="121"/>
      <c r="F141" s="121"/>
      <c r="G141" s="122"/>
      <c r="H141" s="121"/>
      <c r="I141" s="121"/>
      <c r="J141" s="121"/>
      <c r="K141" s="111" t="s">
        <v>1118</v>
      </c>
      <c r="L141" s="121"/>
      <c r="M141" s="121"/>
      <c r="N141" s="121"/>
      <c r="O141" s="121"/>
      <c r="P141" s="121"/>
      <c r="Q141" s="120">
        <f>SUBTOTAL(9,Q139:Q140)</f>
        <v>800</v>
      </c>
    </row>
    <row r="142" spans="1:17" ht="12.75" hidden="1" outlineLevel="2" x14ac:dyDescent="0.2">
      <c r="A142" s="121"/>
      <c r="B142" s="121"/>
      <c r="C142" s="121"/>
      <c r="D142" s="121"/>
      <c r="E142" s="121" t="s">
        <v>307</v>
      </c>
      <c r="F142" s="121"/>
      <c r="G142" s="122">
        <v>45534</v>
      </c>
      <c r="H142" s="121"/>
      <c r="I142" s="121" t="s">
        <v>1199</v>
      </c>
      <c r="J142" s="121"/>
      <c r="K142" s="121" t="s">
        <v>442</v>
      </c>
      <c r="L142" s="121"/>
      <c r="M142" s="121" t="s">
        <v>970</v>
      </c>
      <c r="N142" s="121"/>
      <c r="O142" s="121" t="s">
        <v>1214</v>
      </c>
      <c r="P142" s="121"/>
      <c r="Q142" s="112">
        <v>600</v>
      </c>
    </row>
    <row r="143" spans="1:17" ht="12.75" outlineLevel="1" collapsed="1" x14ac:dyDescent="0.2">
      <c r="A143" s="121"/>
      <c r="B143" s="121"/>
      <c r="C143" s="121"/>
      <c r="D143" s="121"/>
      <c r="E143" s="121"/>
      <c r="F143" s="121"/>
      <c r="G143" s="122"/>
      <c r="H143" s="121"/>
      <c r="I143" s="121"/>
      <c r="J143" s="121"/>
      <c r="K143" s="111" t="s">
        <v>1095</v>
      </c>
      <c r="L143" s="121"/>
      <c r="M143" s="121"/>
      <c r="N143" s="121"/>
      <c r="O143" s="121"/>
      <c r="P143" s="121"/>
      <c r="Q143" s="120">
        <f>SUBTOTAL(9,Q142:Q142)</f>
        <v>600</v>
      </c>
    </row>
    <row r="144" spans="1:17" ht="12.75" hidden="1" outlineLevel="2" x14ac:dyDescent="0.2">
      <c r="A144" s="121"/>
      <c r="B144" s="121"/>
      <c r="C144" s="121"/>
      <c r="D144" s="121"/>
      <c r="E144" s="121" t="s">
        <v>307</v>
      </c>
      <c r="F144" s="121"/>
      <c r="G144" s="122">
        <v>45510</v>
      </c>
      <c r="H144" s="121"/>
      <c r="I144" s="121" t="s">
        <v>1200</v>
      </c>
      <c r="J144" s="121"/>
      <c r="K144" s="121" t="s">
        <v>444</v>
      </c>
      <c r="L144" s="121"/>
      <c r="M144" s="121" t="s">
        <v>970</v>
      </c>
      <c r="N144" s="121"/>
      <c r="O144" s="121" t="s">
        <v>1214</v>
      </c>
      <c r="P144" s="121"/>
      <c r="Q144" s="112">
        <v>258.33999999999997</v>
      </c>
    </row>
    <row r="145" spans="1:17" ht="12.75" outlineLevel="1" collapsed="1" x14ac:dyDescent="0.2">
      <c r="A145" s="121"/>
      <c r="B145" s="121"/>
      <c r="C145" s="121"/>
      <c r="D145" s="121"/>
      <c r="E145" s="121"/>
      <c r="F145" s="121"/>
      <c r="G145" s="122"/>
      <c r="H145" s="121"/>
      <c r="I145" s="121"/>
      <c r="J145" s="121"/>
      <c r="K145" s="111" t="s">
        <v>1096</v>
      </c>
      <c r="L145" s="121"/>
      <c r="M145" s="121"/>
      <c r="N145" s="121"/>
      <c r="O145" s="121"/>
      <c r="P145" s="121"/>
      <c r="Q145" s="120">
        <f>SUBTOTAL(9,Q144:Q144)</f>
        <v>258.33999999999997</v>
      </c>
    </row>
    <row r="146" spans="1:17" ht="12.75" hidden="1" outlineLevel="2" x14ac:dyDescent="0.2">
      <c r="A146" s="121"/>
      <c r="B146" s="121"/>
      <c r="C146" s="121"/>
      <c r="D146" s="121"/>
      <c r="E146" s="121" t="s">
        <v>307</v>
      </c>
      <c r="F146" s="121"/>
      <c r="G146" s="122">
        <v>45534</v>
      </c>
      <c r="H146" s="121"/>
      <c r="I146" s="121" t="s">
        <v>1201</v>
      </c>
      <c r="J146" s="121"/>
      <c r="K146" s="121" t="s">
        <v>207</v>
      </c>
      <c r="L146" s="121"/>
      <c r="M146" s="121" t="s">
        <v>970</v>
      </c>
      <c r="N146" s="121"/>
      <c r="O146" s="121" t="s">
        <v>1214</v>
      </c>
      <c r="P146" s="121"/>
      <c r="Q146" s="112">
        <v>100</v>
      </c>
    </row>
    <row r="147" spans="1:17" ht="12.75" outlineLevel="1" collapsed="1" x14ac:dyDescent="0.2">
      <c r="A147" s="121"/>
      <c r="B147" s="121"/>
      <c r="C147" s="121"/>
      <c r="D147" s="121"/>
      <c r="E147" s="121"/>
      <c r="F147" s="121"/>
      <c r="G147" s="122"/>
      <c r="H147" s="121"/>
      <c r="I147" s="121"/>
      <c r="J147" s="121"/>
      <c r="K147" s="111" t="s">
        <v>1097</v>
      </c>
      <c r="L147" s="121"/>
      <c r="M147" s="121"/>
      <c r="N147" s="121"/>
      <c r="O147" s="121"/>
      <c r="P147" s="121"/>
      <c r="Q147" s="120">
        <f>SUBTOTAL(9,Q146:Q146)</f>
        <v>100</v>
      </c>
    </row>
    <row r="148" spans="1:17" ht="12.75" hidden="1" outlineLevel="2" x14ac:dyDescent="0.2">
      <c r="A148" s="121"/>
      <c r="B148" s="121"/>
      <c r="C148" s="121"/>
      <c r="D148" s="121"/>
      <c r="E148" s="121" t="s">
        <v>307</v>
      </c>
      <c r="F148" s="121"/>
      <c r="G148" s="122">
        <v>45532</v>
      </c>
      <c r="H148" s="121"/>
      <c r="I148" s="121" t="s">
        <v>1202</v>
      </c>
      <c r="J148" s="121"/>
      <c r="K148" s="121" t="s">
        <v>898</v>
      </c>
      <c r="L148" s="121"/>
      <c r="M148" s="121" t="s">
        <v>970</v>
      </c>
      <c r="N148" s="121"/>
      <c r="O148" s="121" t="s">
        <v>1214</v>
      </c>
      <c r="P148" s="121"/>
      <c r="Q148" s="112">
        <v>1500</v>
      </c>
    </row>
    <row r="149" spans="1:17" ht="12.75" outlineLevel="1" collapsed="1" x14ac:dyDescent="0.2">
      <c r="A149" s="121"/>
      <c r="B149" s="121"/>
      <c r="C149" s="121"/>
      <c r="D149" s="121"/>
      <c r="E149" s="121"/>
      <c r="F149" s="121"/>
      <c r="G149" s="122"/>
      <c r="H149" s="121"/>
      <c r="I149" s="121"/>
      <c r="J149" s="121"/>
      <c r="K149" s="111" t="s">
        <v>1098</v>
      </c>
      <c r="L149" s="121"/>
      <c r="M149" s="121"/>
      <c r="N149" s="121"/>
      <c r="O149" s="121"/>
      <c r="P149" s="121"/>
      <c r="Q149" s="120">
        <f>SUBTOTAL(9,Q148:Q148)</f>
        <v>1500</v>
      </c>
    </row>
    <row r="150" spans="1:17" ht="12.75" hidden="1" outlineLevel="2" x14ac:dyDescent="0.2">
      <c r="A150" s="121"/>
      <c r="B150" s="121"/>
      <c r="C150" s="121"/>
      <c r="D150" s="121"/>
      <c r="E150" s="121" t="s">
        <v>307</v>
      </c>
      <c r="F150" s="121"/>
      <c r="G150" s="122">
        <v>45525</v>
      </c>
      <c r="H150" s="121"/>
      <c r="I150" s="121" t="s">
        <v>1203</v>
      </c>
      <c r="J150" s="121"/>
      <c r="K150" s="121" t="s">
        <v>903</v>
      </c>
      <c r="L150" s="121"/>
      <c r="M150" s="121" t="s">
        <v>941</v>
      </c>
      <c r="N150" s="121"/>
      <c r="O150" s="121" t="s">
        <v>1214</v>
      </c>
      <c r="P150" s="121"/>
      <c r="Q150" s="112">
        <v>2250</v>
      </c>
    </row>
    <row r="151" spans="1:17" ht="12.75" outlineLevel="1" collapsed="1" x14ac:dyDescent="0.2">
      <c r="A151" s="121"/>
      <c r="B151" s="121"/>
      <c r="C151" s="121"/>
      <c r="D151" s="121"/>
      <c r="E151" s="121"/>
      <c r="F151" s="121"/>
      <c r="G151" s="122"/>
      <c r="H151" s="121"/>
      <c r="I151" s="121"/>
      <c r="J151" s="121"/>
      <c r="K151" s="111" t="s">
        <v>1099</v>
      </c>
      <c r="L151" s="121"/>
      <c r="M151" s="121"/>
      <c r="N151" s="121"/>
      <c r="O151" s="121"/>
      <c r="P151" s="121"/>
      <c r="Q151" s="120">
        <f>SUBTOTAL(9,Q150:Q150)</f>
        <v>2250</v>
      </c>
    </row>
    <row r="152" spans="1:17" ht="12.75" hidden="1" outlineLevel="2" x14ac:dyDescent="0.2">
      <c r="A152" s="121"/>
      <c r="B152" s="121"/>
      <c r="C152" s="121"/>
      <c r="D152" s="121"/>
      <c r="E152" s="121" t="s">
        <v>307</v>
      </c>
      <c r="F152" s="121"/>
      <c r="G152" s="122">
        <v>45520</v>
      </c>
      <c r="H152" s="121"/>
      <c r="I152" s="121" t="s">
        <v>1204</v>
      </c>
      <c r="J152" s="121"/>
      <c r="K152" s="121" t="s">
        <v>450</v>
      </c>
      <c r="L152" s="121"/>
      <c r="M152" s="121" t="s">
        <v>970</v>
      </c>
      <c r="N152" s="121"/>
      <c r="O152" s="121" t="s">
        <v>1214</v>
      </c>
      <c r="P152" s="121"/>
      <c r="Q152" s="112">
        <v>826.43</v>
      </c>
    </row>
    <row r="153" spans="1:17" ht="12.75" outlineLevel="1" collapsed="1" x14ac:dyDescent="0.2">
      <c r="A153" s="121"/>
      <c r="B153" s="121"/>
      <c r="C153" s="121"/>
      <c r="D153" s="121"/>
      <c r="E153" s="121"/>
      <c r="F153" s="121"/>
      <c r="G153" s="122"/>
      <c r="H153" s="121"/>
      <c r="I153" s="121"/>
      <c r="J153" s="121"/>
      <c r="K153" s="111" t="s">
        <v>1100</v>
      </c>
      <c r="L153" s="121"/>
      <c r="M153" s="121"/>
      <c r="N153" s="121"/>
      <c r="O153" s="121"/>
      <c r="P153" s="121"/>
      <c r="Q153" s="120">
        <f>SUBTOTAL(9,Q152:Q152)</f>
        <v>826.43</v>
      </c>
    </row>
    <row r="154" spans="1:17" ht="12.75" hidden="1" outlineLevel="2" x14ac:dyDescent="0.2">
      <c r="A154" s="121"/>
      <c r="B154" s="121"/>
      <c r="C154" s="121"/>
      <c r="D154" s="121"/>
      <c r="E154" s="121" t="s">
        <v>307</v>
      </c>
      <c r="F154" s="121"/>
      <c r="G154" s="122">
        <v>45531</v>
      </c>
      <c r="H154" s="121"/>
      <c r="I154" s="121" t="s">
        <v>1205</v>
      </c>
      <c r="J154" s="121"/>
      <c r="K154" s="121" t="s">
        <v>452</v>
      </c>
      <c r="L154" s="121"/>
      <c r="M154" s="121" t="s">
        <v>970</v>
      </c>
      <c r="N154" s="121"/>
      <c r="O154" s="121" t="s">
        <v>1214</v>
      </c>
      <c r="P154" s="121"/>
      <c r="Q154" s="112">
        <v>916.67</v>
      </c>
    </row>
    <row r="155" spans="1:17" ht="12.75" outlineLevel="1" collapsed="1" x14ac:dyDescent="0.2">
      <c r="A155" s="121"/>
      <c r="B155" s="121"/>
      <c r="C155" s="121"/>
      <c r="D155" s="121"/>
      <c r="E155" s="121"/>
      <c r="F155" s="121"/>
      <c r="G155" s="122"/>
      <c r="H155" s="121"/>
      <c r="I155" s="121"/>
      <c r="J155" s="121"/>
      <c r="K155" s="111" t="s">
        <v>1101</v>
      </c>
      <c r="L155" s="121"/>
      <c r="M155" s="121"/>
      <c r="N155" s="121"/>
      <c r="O155" s="121"/>
      <c r="P155" s="121"/>
      <c r="Q155" s="120">
        <f>SUBTOTAL(9,Q154:Q154)</f>
        <v>916.67</v>
      </c>
    </row>
    <row r="156" spans="1:17" ht="12.75" hidden="1" outlineLevel="2" x14ac:dyDescent="0.2">
      <c r="A156" s="121"/>
      <c r="B156" s="121"/>
      <c r="C156" s="121"/>
      <c r="D156" s="121"/>
      <c r="E156" s="121" t="s">
        <v>307</v>
      </c>
      <c r="F156" s="121"/>
      <c r="G156" s="122">
        <v>45527</v>
      </c>
      <c r="H156" s="121"/>
      <c r="I156" s="121" t="s">
        <v>1206</v>
      </c>
      <c r="J156" s="121"/>
      <c r="K156" s="121" t="s">
        <v>454</v>
      </c>
      <c r="L156" s="121"/>
      <c r="M156" s="121" t="s">
        <v>970</v>
      </c>
      <c r="N156" s="121"/>
      <c r="O156" s="121" t="s">
        <v>1214</v>
      </c>
      <c r="P156" s="121"/>
      <c r="Q156" s="112">
        <v>350</v>
      </c>
    </row>
    <row r="157" spans="1:17" ht="12.75" outlineLevel="1" collapsed="1" x14ac:dyDescent="0.2">
      <c r="A157" s="121"/>
      <c r="B157" s="121"/>
      <c r="C157" s="121"/>
      <c r="D157" s="121"/>
      <c r="E157" s="121"/>
      <c r="F157" s="121"/>
      <c r="G157" s="122"/>
      <c r="H157" s="121"/>
      <c r="I157" s="121"/>
      <c r="J157" s="121"/>
      <c r="K157" s="111" t="s">
        <v>1102</v>
      </c>
      <c r="L157" s="121"/>
      <c r="M157" s="121"/>
      <c r="N157" s="121"/>
      <c r="O157" s="121"/>
      <c r="P157" s="121"/>
      <c r="Q157" s="120">
        <f>SUBTOTAL(9,Q156:Q156)</f>
        <v>350</v>
      </c>
    </row>
    <row r="158" spans="1:17" ht="12.75" hidden="1" outlineLevel="2" x14ac:dyDescent="0.2">
      <c r="A158" s="121"/>
      <c r="B158" s="121"/>
      <c r="C158" s="121"/>
      <c r="D158" s="121"/>
      <c r="E158" s="121" t="s">
        <v>307</v>
      </c>
      <c r="F158" s="121"/>
      <c r="G158" s="122">
        <v>45517</v>
      </c>
      <c r="H158" s="121"/>
      <c r="I158" s="121" t="s">
        <v>1207</v>
      </c>
      <c r="J158" s="121"/>
      <c r="K158" s="121" t="s">
        <v>456</v>
      </c>
      <c r="L158" s="121"/>
      <c r="M158" s="121" t="s">
        <v>314</v>
      </c>
      <c r="N158" s="121"/>
      <c r="O158" s="121" t="s">
        <v>1214</v>
      </c>
      <c r="P158" s="121"/>
      <c r="Q158" s="112">
        <v>1666.67</v>
      </c>
    </row>
    <row r="159" spans="1:17" ht="12.75" hidden="1" outlineLevel="2" x14ac:dyDescent="0.2">
      <c r="A159" s="121"/>
      <c r="B159" s="121"/>
      <c r="C159" s="121"/>
      <c r="D159" s="121"/>
      <c r="E159" s="121" t="s">
        <v>307</v>
      </c>
      <c r="F159" s="121"/>
      <c r="G159" s="122">
        <v>45520</v>
      </c>
      <c r="H159" s="121"/>
      <c r="I159" s="121" t="s">
        <v>1208</v>
      </c>
      <c r="J159" s="121"/>
      <c r="K159" s="121" t="s">
        <v>456</v>
      </c>
      <c r="L159" s="121"/>
      <c r="M159" s="121" t="s">
        <v>941</v>
      </c>
      <c r="N159" s="121"/>
      <c r="O159" s="121" t="s">
        <v>1214</v>
      </c>
      <c r="P159" s="121"/>
      <c r="Q159" s="112">
        <v>1666.67</v>
      </c>
    </row>
    <row r="160" spans="1:17" ht="12.75" outlineLevel="1" collapsed="1" x14ac:dyDescent="0.2">
      <c r="A160" s="121"/>
      <c r="B160" s="121"/>
      <c r="C160" s="121"/>
      <c r="D160" s="121"/>
      <c r="E160" s="121"/>
      <c r="F160" s="121"/>
      <c r="G160" s="122"/>
      <c r="H160" s="121"/>
      <c r="I160" s="121"/>
      <c r="J160" s="121"/>
      <c r="K160" s="111" t="s">
        <v>1119</v>
      </c>
      <c r="L160" s="121"/>
      <c r="M160" s="121"/>
      <c r="N160" s="121"/>
      <c r="O160" s="121"/>
      <c r="P160" s="121"/>
      <c r="Q160" s="120">
        <f>SUBTOTAL(9,Q158:Q159)</f>
        <v>3333.34</v>
      </c>
    </row>
    <row r="161" spans="1:18" ht="12.75" hidden="1" outlineLevel="2" x14ac:dyDescent="0.2">
      <c r="A161" s="121"/>
      <c r="B161" s="121"/>
      <c r="C161" s="121"/>
      <c r="D161" s="121"/>
      <c r="E161" s="121" t="s">
        <v>307</v>
      </c>
      <c r="F161" s="121"/>
      <c r="G161" s="122">
        <v>45511</v>
      </c>
      <c r="H161" s="121"/>
      <c r="I161" s="121" t="s">
        <v>1209</v>
      </c>
      <c r="J161" s="121"/>
      <c r="K161" s="121" t="s">
        <v>458</v>
      </c>
      <c r="L161" s="121"/>
      <c r="M161" s="121" t="s">
        <v>970</v>
      </c>
      <c r="N161" s="121"/>
      <c r="O161" s="121" t="s">
        <v>1214</v>
      </c>
      <c r="P161" s="121"/>
      <c r="Q161" s="112">
        <v>275</v>
      </c>
    </row>
    <row r="162" spans="1:18" ht="12.75" outlineLevel="1" collapsed="1" x14ac:dyDescent="0.2">
      <c r="A162" s="121"/>
      <c r="B162" s="121"/>
      <c r="C162" s="121"/>
      <c r="D162" s="121"/>
      <c r="E162" s="121"/>
      <c r="F162" s="121"/>
      <c r="G162" s="122"/>
      <c r="H162" s="121"/>
      <c r="I162" s="121"/>
      <c r="J162" s="121"/>
      <c r="K162" s="111" t="s">
        <v>1103</v>
      </c>
      <c r="L162" s="121"/>
      <c r="M162" s="121"/>
      <c r="N162" s="121"/>
      <c r="O162" s="121"/>
      <c r="P162" s="121"/>
      <c r="Q162" s="120">
        <f>SUBTOTAL(9,Q161:Q161)</f>
        <v>275</v>
      </c>
    </row>
    <row r="163" spans="1:18" ht="13.5" thickBot="1" x14ac:dyDescent="0.25">
      <c r="A163" s="121"/>
      <c r="B163" s="121"/>
      <c r="C163" s="121"/>
      <c r="D163" s="121"/>
      <c r="E163" s="121"/>
      <c r="F163" s="121"/>
      <c r="G163" s="122"/>
      <c r="H163" s="121"/>
      <c r="I163" s="121"/>
      <c r="J163" s="121"/>
      <c r="K163" s="111" t="s">
        <v>1104</v>
      </c>
      <c r="L163" s="121"/>
      <c r="M163" s="121"/>
      <c r="N163" s="121"/>
      <c r="O163" s="121"/>
      <c r="P163" s="121"/>
      <c r="Q163" s="120">
        <f>SUBTOTAL(9,Q2:Q161)</f>
        <v>147200.24000000002</v>
      </c>
    </row>
    <row r="164" spans="1:18" ht="13.5" thickBot="1" x14ac:dyDescent="0.25">
      <c r="A164" s="121"/>
      <c r="B164" s="121" t="s">
        <v>459</v>
      </c>
      <c r="C164" s="121"/>
      <c r="D164" s="121"/>
      <c r="E164" s="121"/>
      <c r="F164" s="121"/>
      <c r="G164" s="122"/>
      <c r="H164" s="121"/>
      <c r="I164" s="121"/>
      <c r="J164" s="121"/>
      <c r="K164" s="121"/>
      <c r="L164" s="121"/>
      <c r="M164" s="121"/>
      <c r="N164" s="121"/>
      <c r="O164" s="121"/>
      <c r="P164" s="121"/>
      <c r="Q164" s="124"/>
    </row>
    <row r="165" spans="1:18" ht="13.5" thickBot="1" x14ac:dyDescent="0.25">
      <c r="A165" s="111" t="s">
        <v>460</v>
      </c>
      <c r="B165" s="111"/>
      <c r="C165" s="111"/>
      <c r="D165" s="111"/>
      <c r="E165" s="111"/>
      <c r="F165" s="111"/>
      <c r="G165" s="119"/>
      <c r="H165" s="111"/>
      <c r="I165" s="111"/>
      <c r="J165" s="111"/>
      <c r="K165" s="111"/>
      <c r="L165" s="111"/>
      <c r="M165" s="111"/>
      <c r="N165" s="111"/>
      <c r="O165" s="111"/>
      <c r="P165" s="111"/>
      <c r="Q165" s="113">
        <f>SUM(Q163)</f>
        <v>147200.24000000002</v>
      </c>
      <c r="R165" s="114"/>
    </row>
    <row r="166" spans="1:18" ht="13.5" thickTop="1" x14ac:dyDescent="0.2"/>
    <row r="167" spans="1:18" ht="12.75" x14ac:dyDescent="0.2">
      <c r="O167" s="131"/>
    </row>
    <row r="168" spans="1:18" ht="12.75" x14ac:dyDescent="0.2"/>
    <row r="169" spans="1:18" ht="12.75" x14ac:dyDescent="0.2"/>
    <row r="170" spans="1:18" ht="12.75" x14ac:dyDescent="0.2"/>
    <row r="171" spans="1:18" ht="12.75" x14ac:dyDescent="0.2"/>
    <row r="172" spans="1:18" ht="12.75" x14ac:dyDescent="0.2"/>
    <row r="173" spans="1:18" ht="12.75" x14ac:dyDescent="0.2"/>
    <row r="174" spans="1:18" ht="12.75" x14ac:dyDescent="0.2"/>
    <row r="175" spans="1:18" ht="12.75" x14ac:dyDescent="0.2"/>
    <row r="176" spans="1:18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</sheetData>
  <sortState xmlns:xlrd2="http://schemas.microsoft.com/office/spreadsheetml/2017/richdata2" ref="E3:Q161">
    <sortCondition ref="K3:K161"/>
    <sortCondition ref="M3:M161"/>
    <sortCondition ref="O3:O161"/>
  </sortState>
  <printOptions horizontalCentered="1" gridLines="1"/>
  <pageMargins left="0.25" right="0.25" top="0.48" bottom="0.4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12"/>
  <sheetViews>
    <sheetView topLeftCell="A663" zoomScaleNormal="100" workbookViewId="0">
      <selection activeCell="K380" sqref="K380"/>
    </sheetView>
  </sheetViews>
  <sheetFormatPr defaultRowHeight="20.25" customHeight="1" x14ac:dyDescent="0.2"/>
  <cols>
    <col min="1" max="1" width="3" style="1" customWidth="1"/>
    <col min="2" max="2" width="34.140625" style="1" customWidth="1"/>
    <col min="3" max="4" width="2.28515625" style="1" customWidth="1"/>
    <col min="5" max="5" width="11.85546875" style="1" bestFit="1" customWidth="1"/>
    <col min="6" max="6" width="2.28515625" style="1" customWidth="1"/>
    <col min="7" max="7" width="8.7109375" style="1" bestFit="1" customWidth="1"/>
    <col min="8" max="8" width="2.28515625" style="1" customWidth="1"/>
    <col min="9" max="9" width="5.28515625" style="1" bestFit="1" customWidth="1"/>
    <col min="10" max="10" width="2.28515625" style="1" customWidth="1"/>
    <col min="11" max="11" width="30.7109375" style="1" customWidth="1"/>
    <col min="12" max="12" width="2.28515625" style="1" customWidth="1"/>
    <col min="13" max="13" width="18.140625" style="1" customWidth="1"/>
    <col min="14" max="14" width="2.28515625" style="1" customWidth="1"/>
    <col min="15" max="15" width="12.85546875" style="1" bestFit="1" customWidth="1"/>
    <col min="16" max="16" width="9.140625" style="131"/>
    <col min="17" max="16384" width="9.140625" style="1"/>
  </cols>
  <sheetData>
    <row r="1" spans="1:16" s="110" customFormat="1" ht="13.5" thickBot="1" x14ac:dyDescent="0.25">
      <c r="A1" s="118"/>
      <c r="B1" s="118"/>
      <c r="C1" s="118"/>
      <c r="D1" s="118"/>
      <c r="E1" s="109" t="s">
        <v>300</v>
      </c>
      <c r="F1" s="118"/>
      <c r="G1" s="109" t="s">
        <v>301</v>
      </c>
      <c r="H1" s="118"/>
      <c r="I1" s="109" t="s">
        <v>302</v>
      </c>
      <c r="J1" s="118"/>
      <c r="K1" s="109" t="s">
        <v>303</v>
      </c>
      <c r="L1" s="118"/>
      <c r="M1" s="109" t="s">
        <v>304</v>
      </c>
      <c r="N1" s="118"/>
      <c r="O1" s="109" t="s">
        <v>305</v>
      </c>
      <c r="P1" s="153"/>
    </row>
    <row r="2" spans="1:16" ht="13.5" thickTop="1" x14ac:dyDescent="0.2">
      <c r="A2" s="111"/>
      <c r="B2" s="111" t="s">
        <v>306</v>
      </c>
      <c r="C2" s="111"/>
      <c r="D2" s="111"/>
      <c r="E2" s="111"/>
      <c r="F2" s="111"/>
      <c r="G2" s="119"/>
      <c r="H2" s="111"/>
      <c r="I2" s="111"/>
      <c r="J2" s="111"/>
      <c r="K2" s="111"/>
      <c r="L2" s="111"/>
      <c r="M2" s="111"/>
      <c r="N2" s="111"/>
      <c r="O2" s="120"/>
      <c r="P2" s="1"/>
    </row>
    <row r="3" spans="1:16" ht="12.75" x14ac:dyDescent="0.2">
      <c r="A3" s="121"/>
      <c r="B3" s="121"/>
      <c r="C3" s="121"/>
      <c r="D3" s="121"/>
      <c r="E3" s="121" t="s">
        <v>307</v>
      </c>
      <c r="F3" s="121"/>
      <c r="G3" s="122">
        <v>45336</v>
      </c>
      <c r="H3" s="121"/>
      <c r="I3" s="121" t="s">
        <v>461</v>
      </c>
      <c r="J3" s="121"/>
      <c r="K3" s="121" t="s">
        <v>309</v>
      </c>
      <c r="L3" s="121"/>
      <c r="M3" s="121" t="s">
        <v>462</v>
      </c>
      <c r="N3" s="121"/>
      <c r="O3" s="112">
        <v>99.34</v>
      </c>
      <c r="P3" s="1"/>
    </row>
    <row r="4" spans="1:16" ht="12.75" x14ac:dyDescent="0.2">
      <c r="A4" s="121"/>
      <c r="B4" s="121"/>
      <c r="C4" s="121"/>
      <c r="D4" s="121"/>
      <c r="E4" s="121" t="s">
        <v>307</v>
      </c>
      <c r="F4" s="121"/>
      <c r="G4" s="122">
        <v>45356</v>
      </c>
      <c r="H4" s="121"/>
      <c r="I4" s="121" t="s">
        <v>463</v>
      </c>
      <c r="J4" s="121"/>
      <c r="K4" s="121" t="s">
        <v>309</v>
      </c>
      <c r="L4" s="121"/>
      <c r="M4" s="121" t="s">
        <v>464</v>
      </c>
      <c r="N4" s="121"/>
      <c r="O4" s="112">
        <v>60.34</v>
      </c>
      <c r="P4" s="1"/>
    </row>
    <row r="5" spans="1:16" ht="12.75" x14ac:dyDescent="0.2">
      <c r="A5" s="121"/>
      <c r="B5" s="121"/>
      <c r="C5" s="121"/>
      <c r="D5" s="121"/>
      <c r="E5" s="121" t="s">
        <v>307</v>
      </c>
      <c r="F5" s="121"/>
      <c r="G5" s="122">
        <v>45394</v>
      </c>
      <c r="H5" s="121"/>
      <c r="I5" s="121" t="s">
        <v>465</v>
      </c>
      <c r="J5" s="121"/>
      <c r="K5" s="121" t="s">
        <v>309</v>
      </c>
      <c r="L5" s="121"/>
      <c r="M5" s="121" t="s">
        <v>420</v>
      </c>
      <c r="N5" s="121"/>
      <c r="O5" s="112">
        <v>2236.44</v>
      </c>
      <c r="P5" s="1"/>
    </row>
    <row r="6" spans="1:16" ht="12.75" x14ac:dyDescent="0.2">
      <c r="A6" s="121"/>
      <c r="B6" s="121"/>
      <c r="C6" s="121"/>
      <c r="D6" s="121"/>
      <c r="E6" s="121" t="s">
        <v>307</v>
      </c>
      <c r="F6" s="121"/>
      <c r="G6" s="122">
        <v>45447</v>
      </c>
      <c r="H6" s="121"/>
      <c r="I6" s="121" t="s">
        <v>308</v>
      </c>
      <c r="J6" s="121"/>
      <c r="K6" s="121" t="s">
        <v>309</v>
      </c>
      <c r="L6" s="121"/>
      <c r="M6" s="121" t="s">
        <v>310</v>
      </c>
      <c r="N6" s="121"/>
      <c r="O6" s="112">
        <v>40.479999999999997</v>
      </c>
      <c r="P6" s="1"/>
    </row>
    <row r="7" spans="1:16" ht="12.75" x14ac:dyDescent="0.2">
      <c r="A7" s="121"/>
      <c r="B7" s="121"/>
      <c r="C7" s="121"/>
      <c r="D7" s="121"/>
      <c r="E7" s="121" t="s">
        <v>307</v>
      </c>
      <c r="F7" s="121"/>
      <c r="G7" s="122">
        <v>45447</v>
      </c>
      <c r="H7" s="121"/>
      <c r="I7" s="121" t="s">
        <v>308</v>
      </c>
      <c r="J7" s="121"/>
      <c r="K7" s="121" t="s">
        <v>309</v>
      </c>
      <c r="L7" s="121"/>
      <c r="M7" s="121" t="s">
        <v>311</v>
      </c>
      <c r="N7" s="121"/>
      <c r="O7" s="112">
        <v>570.41999999999996</v>
      </c>
      <c r="P7" s="1"/>
    </row>
    <row r="8" spans="1:16" ht="12.75" x14ac:dyDescent="0.2">
      <c r="A8" s="121"/>
      <c r="B8" s="121"/>
      <c r="C8" s="121"/>
      <c r="D8" s="121"/>
      <c r="E8" s="121" t="s">
        <v>307</v>
      </c>
      <c r="F8" s="121"/>
      <c r="G8" s="122">
        <v>45482</v>
      </c>
      <c r="H8" s="121"/>
      <c r="I8" s="121" t="s">
        <v>939</v>
      </c>
      <c r="J8" s="121"/>
      <c r="K8" s="121" t="s">
        <v>309</v>
      </c>
      <c r="L8" s="121"/>
      <c r="M8" s="121" t="s">
        <v>314</v>
      </c>
      <c r="N8" s="121"/>
      <c r="O8" s="112">
        <v>669.45</v>
      </c>
      <c r="P8" s="1"/>
    </row>
    <row r="9" spans="1:16" ht="12.75" x14ac:dyDescent="0.2">
      <c r="A9" s="121"/>
      <c r="B9" s="121"/>
      <c r="C9" s="121"/>
      <c r="D9" s="121"/>
      <c r="E9" s="121" t="s">
        <v>307</v>
      </c>
      <c r="F9" s="121"/>
      <c r="G9" s="122">
        <v>45505</v>
      </c>
      <c r="H9" s="121"/>
      <c r="I9" s="121" t="s">
        <v>1122</v>
      </c>
      <c r="J9" s="121"/>
      <c r="K9" s="121" t="s">
        <v>309</v>
      </c>
      <c r="L9" s="121"/>
      <c r="M9" s="121" t="s">
        <v>941</v>
      </c>
      <c r="N9" s="121"/>
      <c r="O9" s="112">
        <v>599.34</v>
      </c>
      <c r="P9" s="1"/>
    </row>
    <row r="10" spans="1:16" ht="12.75" x14ac:dyDescent="0.2">
      <c r="A10" s="121"/>
      <c r="B10" s="121"/>
      <c r="C10" s="121"/>
      <c r="D10" s="121"/>
      <c r="E10" s="121" t="s">
        <v>307</v>
      </c>
      <c r="F10" s="121"/>
      <c r="G10" s="122">
        <v>45313</v>
      </c>
      <c r="H10" s="121"/>
      <c r="I10" s="121" t="s">
        <v>466</v>
      </c>
      <c r="J10" s="121"/>
      <c r="K10" s="121" t="s">
        <v>313</v>
      </c>
      <c r="L10" s="121"/>
      <c r="M10" s="121" t="s">
        <v>462</v>
      </c>
      <c r="N10" s="121"/>
      <c r="O10" s="112">
        <v>600</v>
      </c>
      <c r="P10" s="1"/>
    </row>
    <row r="11" spans="1:16" ht="12.75" x14ac:dyDescent="0.2">
      <c r="A11" s="121"/>
      <c r="B11" s="121"/>
      <c r="C11" s="121"/>
      <c r="D11" s="121"/>
      <c r="E11" s="121" t="s">
        <v>307</v>
      </c>
      <c r="F11" s="121"/>
      <c r="G11" s="122">
        <v>45344</v>
      </c>
      <c r="H11" s="121"/>
      <c r="I11" s="121" t="s">
        <v>467</v>
      </c>
      <c r="J11" s="121"/>
      <c r="K11" s="121" t="s">
        <v>313</v>
      </c>
      <c r="L11" s="121"/>
      <c r="M11" s="121" t="s">
        <v>464</v>
      </c>
      <c r="N11" s="121"/>
      <c r="O11" s="112">
        <v>600</v>
      </c>
      <c r="P11" s="1"/>
    </row>
    <row r="12" spans="1:16" ht="12.75" x14ac:dyDescent="0.2">
      <c r="A12" s="121"/>
      <c r="B12" s="121"/>
      <c r="C12" s="121"/>
      <c r="D12" s="121"/>
      <c r="E12" s="121" t="s">
        <v>307</v>
      </c>
      <c r="F12" s="121"/>
      <c r="G12" s="122">
        <v>45372</v>
      </c>
      <c r="H12" s="121"/>
      <c r="I12" s="121" t="s">
        <v>468</v>
      </c>
      <c r="J12" s="121"/>
      <c r="K12" s="121" t="s">
        <v>313</v>
      </c>
      <c r="L12" s="121"/>
      <c r="M12" s="121" t="s">
        <v>420</v>
      </c>
      <c r="N12" s="121"/>
      <c r="O12" s="112">
        <v>600</v>
      </c>
      <c r="P12" s="1"/>
    </row>
    <row r="13" spans="1:16" ht="12.75" x14ac:dyDescent="0.2">
      <c r="A13" s="121"/>
      <c r="B13" s="121"/>
      <c r="C13" s="121"/>
      <c r="D13" s="121"/>
      <c r="E13" s="121" t="s">
        <v>307</v>
      </c>
      <c r="F13" s="121"/>
      <c r="G13" s="122">
        <v>45404</v>
      </c>
      <c r="H13" s="121"/>
      <c r="I13" s="121" t="s">
        <v>469</v>
      </c>
      <c r="J13" s="121"/>
      <c r="K13" s="121" t="s">
        <v>313</v>
      </c>
      <c r="L13" s="121"/>
      <c r="M13" s="121" t="s">
        <v>322</v>
      </c>
      <c r="N13" s="121"/>
      <c r="O13" s="112">
        <v>600</v>
      </c>
      <c r="P13" s="1"/>
    </row>
    <row r="14" spans="1:16" ht="12.75" x14ac:dyDescent="0.2">
      <c r="A14" s="121"/>
      <c r="B14" s="121"/>
      <c r="C14" s="121"/>
      <c r="D14" s="121"/>
      <c r="E14" s="121" t="s">
        <v>307</v>
      </c>
      <c r="F14" s="121"/>
      <c r="G14" s="122">
        <v>45433</v>
      </c>
      <c r="H14" s="121"/>
      <c r="I14" s="121" t="s">
        <v>470</v>
      </c>
      <c r="J14" s="121"/>
      <c r="K14" s="121" t="s">
        <v>313</v>
      </c>
      <c r="L14" s="121"/>
      <c r="M14" s="121" t="s">
        <v>311</v>
      </c>
      <c r="N14" s="121"/>
      <c r="O14" s="112">
        <v>600</v>
      </c>
      <c r="P14" s="1"/>
    </row>
    <row r="15" spans="1:16" ht="12.75" x14ac:dyDescent="0.2">
      <c r="A15" s="121"/>
      <c r="B15" s="121"/>
      <c r="C15" s="121"/>
      <c r="D15" s="121"/>
      <c r="E15" s="121" t="s">
        <v>307</v>
      </c>
      <c r="F15" s="121"/>
      <c r="G15" s="122">
        <v>45469</v>
      </c>
      <c r="H15" s="121"/>
      <c r="I15" s="121" t="s">
        <v>312</v>
      </c>
      <c r="J15" s="121"/>
      <c r="K15" s="121" t="s">
        <v>313</v>
      </c>
      <c r="L15" s="121"/>
      <c r="M15" s="121" t="s">
        <v>314</v>
      </c>
      <c r="N15" s="121"/>
      <c r="O15" s="112">
        <v>600</v>
      </c>
      <c r="P15" s="1"/>
    </row>
    <row r="16" spans="1:16" ht="12.75" x14ac:dyDescent="0.2">
      <c r="A16" s="121"/>
      <c r="B16" s="121"/>
      <c r="C16" s="121"/>
      <c r="D16" s="121"/>
      <c r="E16" s="121" t="s">
        <v>307</v>
      </c>
      <c r="F16" s="121"/>
      <c r="G16" s="122">
        <v>45492</v>
      </c>
      <c r="H16" s="121"/>
      <c r="I16" s="121" t="s">
        <v>940</v>
      </c>
      <c r="J16" s="121"/>
      <c r="K16" s="121" t="s">
        <v>313</v>
      </c>
      <c r="L16" s="121"/>
      <c r="M16" s="121" t="s">
        <v>941</v>
      </c>
      <c r="N16" s="121"/>
      <c r="O16" s="112">
        <v>600</v>
      </c>
      <c r="P16" s="1"/>
    </row>
    <row r="17" spans="1:16" ht="12.75" x14ac:dyDescent="0.2">
      <c r="A17" s="121"/>
      <c r="B17" s="121"/>
      <c r="C17" s="121"/>
      <c r="D17" s="121"/>
      <c r="E17" s="121" t="s">
        <v>307</v>
      </c>
      <c r="F17" s="121"/>
      <c r="G17" s="122">
        <v>45526</v>
      </c>
      <c r="H17" s="121"/>
      <c r="I17" s="121" t="s">
        <v>1123</v>
      </c>
      <c r="J17" s="121"/>
      <c r="K17" s="121" t="s">
        <v>313</v>
      </c>
      <c r="L17" s="121"/>
      <c r="M17" s="121" t="s">
        <v>970</v>
      </c>
      <c r="N17" s="121"/>
      <c r="O17" s="112">
        <v>600</v>
      </c>
      <c r="P17" s="1"/>
    </row>
    <row r="18" spans="1:16" ht="12.75" x14ac:dyDescent="0.2">
      <c r="A18" s="121"/>
      <c r="B18" s="121"/>
      <c r="C18" s="121"/>
      <c r="D18" s="121"/>
      <c r="E18" s="121" t="s">
        <v>307</v>
      </c>
      <c r="F18" s="121"/>
      <c r="G18" s="122">
        <v>45324</v>
      </c>
      <c r="H18" s="121"/>
      <c r="I18" s="121" t="s">
        <v>471</v>
      </c>
      <c r="J18" s="121"/>
      <c r="K18" s="121" t="s">
        <v>316</v>
      </c>
      <c r="L18" s="121"/>
      <c r="M18" s="121" t="s">
        <v>462</v>
      </c>
      <c r="N18" s="121"/>
      <c r="O18" s="112">
        <v>400</v>
      </c>
      <c r="P18" s="1"/>
    </row>
    <row r="19" spans="1:16" ht="12.75" x14ac:dyDescent="0.2">
      <c r="A19" s="121"/>
      <c r="B19" s="121"/>
      <c r="C19" s="121"/>
      <c r="D19" s="121"/>
      <c r="E19" s="121" t="s">
        <v>307</v>
      </c>
      <c r="F19" s="121"/>
      <c r="G19" s="122">
        <v>45334</v>
      </c>
      <c r="H19" s="121"/>
      <c r="I19" s="121" t="s">
        <v>472</v>
      </c>
      <c r="J19" s="121"/>
      <c r="K19" s="121" t="s">
        <v>316</v>
      </c>
      <c r="L19" s="121"/>
      <c r="M19" s="121" t="s">
        <v>464</v>
      </c>
      <c r="N19" s="121"/>
      <c r="O19" s="112">
        <v>400</v>
      </c>
      <c r="P19" s="1"/>
    </row>
    <row r="20" spans="1:16" ht="12.75" x14ac:dyDescent="0.2">
      <c r="A20" s="121"/>
      <c r="B20" s="121"/>
      <c r="C20" s="121"/>
      <c r="D20" s="121"/>
      <c r="E20" s="121" t="s">
        <v>307</v>
      </c>
      <c r="F20" s="121"/>
      <c r="G20" s="122">
        <v>45358</v>
      </c>
      <c r="H20" s="121"/>
      <c r="I20" s="121" t="s">
        <v>473</v>
      </c>
      <c r="J20" s="121"/>
      <c r="K20" s="121" t="s">
        <v>316</v>
      </c>
      <c r="L20" s="121"/>
      <c r="M20" s="121" t="s">
        <v>420</v>
      </c>
      <c r="N20" s="121"/>
      <c r="O20" s="112">
        <v>400</v>
      </c>
      <c r="P20" s="1"/>
    </row>
    <row r="21" spans="1:16" ht="12.75" x14ac:dyDescent="0.2">
      <c r="A21" s="121"/>
      <c r="B21" s="121"/>
      <c r="C21" s="121"/>
      <c r="D21" s="121"/>
      <c r="E21" s="121" t="s">
        <v>307</v>
      </c>
      <c r="F21" s="121"/>
      <c r="G21" s="122">
        <v>45394</v>
      </c>
      <c r="H21" s="121"/>
      <c r="I21" s="121" t="s">
        <v>474</v>
      </c>
      <c r="J21" s="121"/>
      <c r="K21" s="121" t="s">
        <v>316</v>
      </c>
      <c r="L21" s="121"/>
      <c r="M21" s="121" t="s">
        <v>322</v>
      </c>
      <c r="N21" s="121"/>
      <c r="O21" s="112">
        <v>400</v>
      </c>
      <c r="P21" s="1"/>
    </row>
    <row r="22" spans="1:16" ht="12.75" x14ac:dyDescent="0.2">
      <c r="A22" s="121"/>
      <c r="B22" s="121"/>
      <c r="C22" s="121"/>
      <c r="D22" s="121"/>
      <c r="E22" s="121" t="s">
        <v>307</v>
      </c>
      <c r="F22" s="121"/>
      <c r="G22" s="122">
        <v>45425</v>
      </c>
      <c r="H22" s="121"/>
      <c r="I22" s="121" t="s">
        <v>475</v>
      </c>
      <c r="J22" s="121"/>
      <c r="K22" s="121" t="s">
        <v>316</v>
      </c>
      <c r="L22" s="121"/>
      <c r="M22" s="121" t="s">
        <v>311</v>
      </c>
      <c r="N22" s="121"/>
      <c r="O22" s="112">
        <v>400</v>
      </c>
      <c r="P22" s="1"/>
    </row>
    <row r="23" spans="1:16" ht="12.75" x14ac:dyDescent="0.2">
      <c r="A23" s="121"/>
      <c r="B23" s="121"/>
      <c r="C23" s="121"/>
      <c r="D23" s="121"/>
      <c r="E23" s="121" t="s">
        <v>307</v>
      </c>
      <c r="F23" s="121"/>
      <c r="G23" s="122">
        <v>45456</v>
      </c>
      <c r="H23" s="121"/>
      <c r="I23" s="121" t="s">
        <v>315</v>
      </c>
      <c r="J23" s="121"/>
      <c r="K23" s="121" t="s">
        <v>316</v>
      </c>
      <c r="L23" s="121"/>
      <c r="M23" s="121" t="s">
        <v>314</v>
      </c>
      <c r="N23" s="121"/>
      <c r="O23" s="112">
        <v>400</v>
      </c>
      <c r="P23" s="1"/>
    </row>
    <row r="24" spans="1:16" ht="12.75" x14ac:dyDescent="0.2">
      <c r="A24" s="121"/>
      <c r="B24" s="121"/>
      <c r="C24" s="121"/>
      <c r="D24" s="121"/>
      <c r="E24" s="121" t="s">
        <v>307</v>
      </c>
      <c r="F24" s="121"/>
      <c r="G24" s="122">
        <v>45491</v>
      </c>
      <c r="H24" s="121"/>
      <c r="I24" s="121" t="s">
        <v>942</v>
      </c>
      <c r="J24" s="121"/>
      <c r="K24" s="121" t="s">
        <v>316</v>
      </c>
      <c r="L24" s="121"/>
      <c r="M24" s="121" t="s">
        <v>941</v>
      </c>
      <c r="N24" s="121"/>
      <c r="O24" s="112">
        <v>400</v>
      </c>
      <c r="P24" s="1"/>
    </row>
    <row r="25" spans="1:16" ht="12.75" x14ac:dyDescent="0.2">
      <c r="A25" s="121"/>
      <c r="B25" s="121"/>
      <c r="C25" s="121"/>
      <c r="D25" s="121"/>
      <c r="E25" s="121" t="s">
        <v>307</v>
      </c>
      <c r="F25" s="121"/>
      <c r="G25" s="122">
        <v>45517</v>
      </c>
      <c r="H25" s="121"/>
      <c r="I25" s="121" t="s">
        <v>1124</v>
      </c>
      <c r="J25" s="121"/>
      <c r="K25" s="121" t="s">
        <v>316</v>
      </c>
      <c r="L25" s="121"/>
      <c r="M25" s="121" t="s">
        <v>970</v>
      </c>
      <c r="N25" s="121"/>
      <c r="O25" s="112">
        <v>400</v>
      </c>
      <c r="P25" s="1"/>
    </row>
    <row r="26" spans="1:16" ht="12.75" x14ac:dyDescent="0.2">
      <c r="A26" s="121"/>
      <c r="B26" s="121"/>
      <c r="C26" s="121"/>
      <c r="D26" s="121"/>
      <c r="E26" s="121" t="s">
        <v>307</v>
      </c>
      <c r="F26" s="121"/>
      <c r="G26" s="122">
        <v>45303</v>
      </c>
      <c r="H26" s="121"/>
      <c r="I26" s="121" t="s">
        <v>476</v>
      </c>
      <c r="J26" s="121"/>
      <c r="K26" s="121" t="s">
        <v>318</v>
      </c>
      <c r="L26" s="121"/>
      <c r="M26" s="121" t="s">
        <v>462</v>
      </c>
      <c r="N26" s="121"/>
      <c r="O26" s="112">
        <v>3750</v>
      </c>
      <c r="P26" s="1"/>
    </row>
    <row r="27" spans="1:16" ht="12.75" x14ac:dyDescent="0.2">
      <c r="A27" s="121"/>
      <c r="B27" s="121"/>
      <c r="C27" s="121"/>
      <c r="D27" s="121"/>
      <c r="E27" s="121" t="s">
        <v>307</v>
      </c>
      <c r="F27" s="121"/>
      <c r="G27" s="122">
        <v>45337</v>
      </c>
      <c r="H27" s="121"/>
      <c r="I27" s="121" t="s">
        <v>477</v>
      </c>
      <c r="J27" s="121"/>
      <c r="K27" s="121" t="s">
        <v>318</v>
      </c>
      <c r="L27" s="121"/>
      <c r="M27" s="121" t="s">
        <v>464</v>
      </c>
      <c r="N27" s="121"/>
      <c r="O27" s="112">
        <v>4583.34</v>
      </c>
      <c r="P27" s="1"/>
    </row>
    <row r="28" spans="1:16" ht="12.75" x14ac:dyDescent="0.2">
      <c r="A28" s="121"/>
      <c r="B28" s="121"/>
      <c r="C28" s="121"/>
      <c r="D28" s="121"/>
      <c r="E28" s="121" t="s">
        <v>307</v>
      </c>
      <c r="F28" s="121"/>
      <c r="G28" s="122">
        <v>45366</v>
      </c>
      <c r="H28" s="121"/>
      <c r="I28" s="121" t="s">
        <v>478</v>
      </c>
      <c r="J28" s="121"/>
      <c r="K28" s="121" t="s">
        <v>318</v>
      </c>
      <c r="L28" s="121"/>
      <c r="M28" s="121" t="s">
        <v>420</v>
      </c>
      <c r="N28" s="121"/>
      <c r="O28" s="112">
        <v>4166.67</v>
      </c>
      <c r="P28" s="1"/>
    </row>
    <row r="29" spans="1:16" ht="12.75" x14ac:dyDescent="0.2">
      <c r="A29" s="121"/>
      <c r="B29" s="121"/>
      <c r="C29" s="121"/>
      <c r="D29" s="121"/>
      <c r="E29" s="121" t="s">
        <v>307</v>
      </c>
      <c r="F29" s="121"/>
      <c r="G29" s="122">
        <v>45397</v>
      </c>
      <c r="H29" s="121"/>
      <c r="I29" s="121" t="s">
        <v>479</v>
      </c>
      <c r="J29" s="121"/>
      <c r="K29" s="121" t="s">
        <v>318</v>
      </c>
      <c r="L29" s="121"/>
      <c r="M29" s="121" t="s">
        <v>322</v>
      </c>
      <c r="N29" s="121"/>
      <c r="O29" s="112">
        <v>4166.67</v>
      </c>
      <c r="P29" s="1"/>
    </row>
    <row r="30" spans="1:16" ht="12.75" x14ac:dyDescent="0.2">
      <c r="A30" s="121"/>
      <c r="B30" s="121"/>
      <c r="C30" s="121"/>
      <c r="D30" s="121"/>
      <c r="E30" s="121" t="s">
        <v>307</v>
      </c>
      <c r="F30" s="121"/>
      <c r="G30" s="122">
        <v>45427</v>
      </c>
      <c r="H30" s="121"/>
      <c r="I30" s="121" t="s">
        <v>480</v>
      </c>
      <c r="J30" s="121"/>
      <c r="K30" s="121" t="s">
        <v>318</v>
      </c>
      <c r="L30" s="121"/>
      <c r="M30" s="121" t="s">
        <v>311</v>
      </c>
      <c r="N30" s="121"/>
      <c r="O30" s="112">
        <v>4166.67</v>
      </c>
      <c r="P30" s="1"/>
    </row>
    <row r="31" spans="1:16" ht="12.75" x14ac:dyDescent="0.2">
      <c r="A31" s="121"/>
      <c r="B31" s="121"/>
      <c r="C31" s="121"/>
      <c r="D31" s="121"/>
      <c r="E31" s="121" t="s">
        <v>307</v>
      </c>
      <c r="F31" s="121"/>
      <c r="G31" s="122">
        <v>45458</v>
      </c>
      <c r="H31" s="121"/>
      <c r="I31" s="121" t="s">
        <v>317</v>
      </c>
      <c r="J31" s="121"/>
      <c r="K31" s="121" t="s">
        <v>318</v>
      </c>
      <c r="L31" s="121"/>
      <c r="M31" s="121" t="s">
        <v>314</v>
      </c>
      <c r="N31" s="121"/>
      <c r="O31" s="112">
        <v>4166.67</v>
      </c>
      <c r="P31" s="1"/>
    </row>
    <row r="32" spans="1:16" ht="12.75" x14ac:dyDescent="0.2">
      <c r="A32" s="121"/>
      <c r="B32" s="121"/>
      <c r="C32" s="121"/>
      <c r="D32" s="121"/>
      <c r="E32" s="121" t="s">
        <v>307</v>
      </c>
      <c r="F32" s="121"/>
      <c r="G32" s="122">
        <v>45488</v>
      </c>
      <c r="H32" s="121"/>
      <c r="I32" s="121" t="s">
        <v>943</v>
      </c>
      <c r="J32" s="121"/>
      <c r="K32" s="121" t="s">
        <v>318</v>
      </c>
      <c r="L32" s="121"/>
      <c r="M32" s="121" t="s">
        <v>941</v>
      </c>
      <c r="N32" s="121"/>
      <c r="O32" s="112">
        <v>4166.67</v>
      </c>
      <c r="P32" s="1"/>
    </row>
    <row r="33" spans="1:16" ht="12.75" x14ac:dyDescent="0.2">
      <c r="A33" s="121"/>
      <c r="B33" s="121"/>
      <c r="C33" s="121"/>
      <c r="D33" s="121"/>
      <c r="E33" s="121" t="s">
        <v>307</v>
      </c>
      <c r="F33" s="121"/>
      <c r="G33" s="122">
        <v>45519</v>
      </c>
      <c r="H33" s="121"/>
      <c r="I33" s="121" t="s">
        <v>1125</v>
      </c>
      <c r="J33" s="121"/>
      <c r="K33" s="121" t="s">
        <v>318</v>
      </c>
      <c r="L33" s="121"/>
      <c r="M33" s="121" t="s">
        <v>970</v>
      </c>
      <c r="N33" s="121"/>
      <c r="O33" s="112">
        <v>4166.67</v>
      </c>
      <c r="P33" s="1"/>
    </row>
    <row r="34" spans="1:16" ht="12.75" x14ac:dyDescent="0.2">
      <c r="A34" s="121"/>
      <c r="B34" s="121"/>
      <c r="C34" s="121"/>
      <c r="D34" s="121"/>
      <c r="E34" s="121" t="s">
        <v>307</v>
      </c>
      <c r="F34" s="121"/>
      <c r="G34" s="122">
        <v>45316</v>
      </c>
      <c r="H34" s="121"/>
      <c r="I34" s="121" t="s">
        <v>481</v>
      </c>
      <c r="J34" s="121"/>
      <c r="K34" s="121" t="s">
        <v>132</v>
      </c>
      <c r="L34" s="121"/>
      <c r="M34" s="121" t="s">
        <v>482</v>
      </c>
      <c r="N34" s="121"/>
      <c r="O34" s="112">
        <v>200</v>
      </c>
      <c r="P34" s="1"/>
    </row>
    <row r="35" spans="1:16" ht="12.75" x14ac:dyDescent="0.2">
      <c r="A35" s="121"/>
      <c r="B35" s="121"/>
      <c r="C35" s="121"/>
      <c r="D35" s="121"/>
      <c r="E35" s="121" t="s">
        <v>307</v>
      </c>
      <c r="F35" s="121"/>
      <c r="G35" s="122">
        <v>45322</v>
      </c>
      <c r="H35" s="121"/>
      <c r="I35" s="121" t="s">
        <v>483</v>
      </c>
      <c r="J35" s="121"/>
      <c r="K35" s="121" t="s">
        <v>132</v>
      </c>
      <c r="L35" s="121"/>
      <c r="M35" s="121" t="s">
        <v>462</v>
      </c>
      <c r="N35" s="121"/>
      <c r="O35" s="112">
        <v>300</v>
      </c>
      <c r="P35" s="1"/>
    </row>
    <row r="36" spans="1:16" ht="12.75" x14ac:dyDescent="0.2">
      <c r="A36" s="121"/>
      <c r="B36" s="121"/>
      <c r="C36" s="121"/>
      <c r="D36" s="121"/>
      <c r="E36" s="121" t="s">
        <v>307</v>
      </c>
      <c r="F36" s="121"/>
      <c r="G36" s="122">
        <v>45345</v>
      </c>
      <c r="H36" s="121"/>
      <c r="I36" s="121" t="s">
        <v>484</v>
      </c>
      <c r="J36" s="121"/>
      <c r="K36" s="121" t="s">
        <v>132</v>
      </c>
      <c r="L36" s="121"/>
      <c r="M36" s="121" t="s">
        <v>464</v>
      </c>
      <c r="N36" s="121"/>
      <c r="O36" s="112">
        <v>200</v>
      </c>
      <c r="P36" s="1"/>
    </row>
    <row r="37" spans="1:16" ht="12.75" x14ac:dyDescent="0.2">
      <c r="A37" s="121"/>
      <c r="B37" s="121"/>
      <c r="C37" s="121"/>
      <c r="D37" s="121"/>
      <c r="E37" s="121" t="s">
        <v>307</v>
      </c>
      <c r="F37" s="121"/>
      <c r="G37" s="122">
        <v>45369</v>
      </c>
      <c r="H37" s="121"/>
      <c r="I37" s="121" t="s">
        <v>485</v>
      </c>
      <c r="J37" s="121"/>
      <c r="K37" s="121" t="s">
        <v>132</v>
      </c>
      <c r="L37" s="121"/>
      <c r="M37" s="121" t="s">
        <v>420</v>
      </c>
      <c r="N37" s="121"/>
      <c r="O37" s="112">
        <v>200</v>
      </c>
      <c r="P37" s="1"/>
    </row>
    <row r="38" spans="1:16" ht="12.75" x14ac:dyDescent="0.2">
      <c r="A38" s="121"/>
      <c r="B38" s="121"/>
      <c r="C38" s="121"/>
      <c r="D38" s="121"/>
      <c r="E38" s="121" t="s">
        <v>307</v>
      </c>
      <c r="F38" s="121"/>
      <c r="G38" s="122">
        <v>45461</v>
      </c>
      <c r="H38" s="121"/>
      <c r="I38" s="121" t="s">
        <v>319</v>
      </c>
      <c r="J38" s="121"/>
      <c r="K38" s="121" t="s">
        <v>132</v>
      </c>
      <c r="L38" s="121"/>
      <c r="M38" s="121" t="s">
        <v>314</v>
      </c>
      <c r="N38" s="121"/>
      <c r="O38" s="112">
        <v>250</v>
      </c>
      <c r="P38" s="1"/>
    </row>
    <row r="39" spans="1:16" ht="12.75" x14ac:dyDescent="0.2">
      <c r="A39" s="121"/>
      <c r="B39" s="121"/>
      <c r="C39" s="121"/>
      <c r="D39" s="121"/>
      <c r="E39" s="121" t="s">
        <v>307</v>
      </c>
      <c r="F39" s="121"/>
      <c r="G39" s="122">
        <v>45498</v>
      </c>
      <c r="H39" s="121"/>
      <c r="I39" s="121" t="s">
        <v>944</v>
      </c>
      <c r="J39" s="121"/>
      <c r="K39" s="121" t="s">
        <v>132</v>
      </c>
      <c r="L39" s="121"/>
      <c r="M39" s="121" t="s">
        <v>941</v>
      </c>
      <c r="N39" s="121"/>
      <c r="O39" s="112">
        <v>250</v>
      </c>
      <c r="P39" s="1"/>
    </row>
    <row r="40" spans="1:16" ht="12.75" x14ac:dyDescent="0.2">
      <c r="A40" s="121"/>
      <c r="B40" s="121"/>
      <c r="C40" s="121"/>
      <c r="D40" s="121"/>
      <c r="E40" s="121" t="s">
        <v>307</v>
      </c>
      <c r="F40" s="121"/>
      <c r="G40" s="122">
        <v>45532</v>
      </c>
      <c r="H40" s="121"/>
      <c r="I40" s="121" t="s">
        <v>1126</v>
      </c>
      <c r="J40" s="121"/>
      <c r="K40" s="121" t="s">
        <v>132</v>
      </c>
      <c r="L40" s="121"/>
      <c r="M40" s="121" t="s">
        <v>970</v>
      </c>
      <c r="N40" s="121"/>
      <c r="O40" s="112">
        <v>250</v>
      </c>
      <c r="P40" s="1"/>
    </row>
    <row r="41" spans="1:16" ht="12.75" x14ac:dyDescent="0.2">
      <c r="A41" s="121"/>
      <c r="B41" s="121"/>
      <c r="C41" s="121"/>
      <c r="D41" s="121"/>
      <c r="E41" s="121" t="s">
        <v>307</v>
      </c>
      <c r="F41" s="121"/>
      <c r="G41" s="122">
        <v>45320</v>
      </c>
      <c r="H41" s="121"/>
      <c r="I41" s="121" t="s">
        <v>486</v>
      </c>
      <c r="J41" s="121"/>
      <c r="K41" s="121" t="s">
        <v>321</v>
      </c>
      <c r="L41" s="121"/>
      <c r="M41" s="121" t="s">
        <v>482</v>
      </c>
      <c r="N41" s="121"/>
      <c r="O41" s="112">
        <v>1666.67</v>
      </c>
      <c r="P41" s="1"/>
    </row>
    <row r="42" spans="1:16" ht="12.75" x14ac:dyDescent="0.2">
      <c r="A42" s="121"/>
      <c r="B42" s="121"/>
      <c r="C42" s="121"/>
      <c r="D42" s="121"/>
      <c r="E42" s="121" t="s">
        <v>307</v>
      </c>
      <c r="F42" s="121"/>
      <c r="G42" s="122">
        <v>45349</v>
      </c>
      <c r="H42" s="121"/>
      <c r="I42" s="121" t="s">
        <v>487</v>
      </c>
      <c r="J42" s="121"/>
      <c r="K42" s="121" t="s">
        <v>321</v>
      </c>
      <c r="L42" s="121"/>
      <c r="M42" s="121" t="s">
        <v>462</v>
      </c>
      <c r="N42" s="121"/>
      <c r="O42" s="112">
        <v>1666.66</v>
      </c>
      <c r="P42" s="1"/>
    </row>
    <row r="43" spans="1:16" ht="12.75" x14ac:dyDescent="0.2">
      <c r="A43" s="121"/>
      <c r="B43" s="121"/>
      <c r="C43" s="121"/>
      <c r="D43" s="121"/>
      <c r="E43" s="121" t="s">
        <v>307</v>
      </c>
      <c r="F43" s="121"/>
      <c r="G43" s="122">
        <v>45370</v>
      </c>
      <c r="H43" s="121"/>
      <c r="I43" s="121" t="s">
        <v>488</v>
      </c>
      <c r="J43" s="121"/>
      <c r="K43" s="121" t="s">
        <v>321</v>
      </c>
      <c r="L43" s="121"/>
      <c r="M43" s="121" t="s">
        <v>464</v>
      </c>
      <c r="N43" s="121"/>
      <c r="O43" s="112">
        <v>1666.67</v>
      </c>
      <c r="P43" s="1"/>
    </row>
    <row r="44" spans="1:16" ht="12.75" x14ac:dyDescent="0.2">
      <c r="A44" s="121"/>
      <c r="B44" s="121"/>
      <c r="C44" s="121"/>
      <c r="D44" s="121"/>
      <c r="E44" s="121" t="s">
        <v>307</v>
      </c>
      <c r="F44" s="121"/>
      <c r="G44" s="122">
        <v>45394</v>
      </c>
      <c r="H44" s="121"/>
      <c r="I44" s="121" t="s">
        <v>489</v>
      </c>
      <c r="J44" s="121"/>
      <c r="K44" s="121" t="s">
        <v>321</v>
      </c>
      <c r="L44" s="121"/>
      <c r="M44" s="121" t="s">
        <v>420</v>
      </c>
      <c r="N44" s="121"/>
      <c r="O44" s="112">
        <v>1666.67</v>
      </c>
      <c r="P44" s="1"/>
    </row>
    <row r="45" spans="1:16" ht="12.75" x14ac:dyDescent="0.2">
      <c r="A45" s="121"/>
      <c r="B45" s="121"/>
      <c r="C45" s="121"/>
      <c r="D45" s="121"/>
      <c r="E45" s="121" t="s">
        <v>307</v>
      </c>
      <c r="F45" s="121"/>
      <c r="G45" s="122">
        <v>45455</v>
      </c>
      <c r="H45" s="121"/>
      <c r="I45" s="121" t="s">
        <v>320</v>
      </c>
      <c r="J45" s="121"/>
      <c r="K45" s="121" t="s">
        <v>321</v>
      </c>
      <c r="L45" s="121"/>
      <c r="M45" s="121" t="s">
        <v>322</v>
      </c>
      <c r="N45" s="121"/>
      <c r="O45" s="112">
        <v>1666.67</v>
      </c>
      <c r="P45" s="1"/>
    </row>
    <row r="46" spans="1:16" ht="12.75" x14ac:dyDescent="0.2">
      <c r="A46" s="121"/>
      <c r="B46" s="121"/>
      <c r="C46" s="121"/>
      <c r="D46" s="121"/>
      <c r="E46" s="121" t="s">
        <v>307</v>
      </c>
      <c r="F46" s="121"/>
      <c r="G46" s="122">
        <v>45468</v>
      </c>
      <c r="H46" s="121"/>
      <c r="I46" s="121" t="s">
        <v>323</v>
      </c>
      <c r="J46" s="121"/>
      <c r="K46" s="121" t="s">
        <v>321</v>
      </c>
      <c r="L46" s="121"/>
      <c r="M46" s="121" t="s">
        <v>311</v>
      </c>
      <c r="N46" s="121"/>
      <c r="O46" s="112">
        <v>1666.67</v>
      </c>
      <c r="P46" s="1"/>
    </row>
    <row r="47" spans="1:16" ht="12.75" x14ac:dyDescent="0.2">
      <c r="A47" s="121"/>
      <c r="B47" s="121"/>
      <c r="C47" s="121"/>
      <c r="D47" s="121"/>
      <c r="E47" s="121" t="s">
        <v>307</v>
      </c>
      <c r="F47" s="121"/>
      <c r="G47" s="122">
        <v>45502</v>
      </c>
      <c r="H47" s="121"/>
      <c r="I47" s="121" t="s">
        <v>945</v>
      </c>
      <c r="J47" s="121"/>
      <c r="K47" s="121" t="s">
        <v>321</v>
      </c>
      <c r="L47" s="121"/>
      <c r="M47" s="121" t="s">
        <v>314</v>
      </c>
      <c r="N47" s="121"/>
      <c r="O47" s="112">
        <v>1666.67</v>
      </c>
      <c r="P47" s="1"/>
    </row>
    <row r="48" spans="1:16" ht="12.75" x14ac:dyDescent="0.2">
      <c r="A48" s="121"/>
      <c r="B48" s="121"/>
      <c r="C48" s="121"/>
      <c r="D48" s="121"/>
      <c r="E48" s="121" t="s">
        <v>307</v>
      </c>
      <c r="F48" s="121"/>
      <c r="G48" s="122">
        <v>45329</v>
      </c>
      <c r="H48" s="121"/>
      <c r="I48" s="121" t="s">
        <v>490</v>
      </c>
      <c r="J48" s="121"/>
      <c r="K48" s="121" t="s">
        <v>325</v>
      </c>
      <c r="L48" s="121"/>
      <c r="M48" s="121" t="s">
        <v>462</v>
      </c>
      <c r="N48" s="121"/>
      <c r="O48" s="112">
        <v>2500</v>
      </c>
      <c r="P48" s="1"/>
    </row>
    <row r="49" spans="1:16" ht="12.75" x14ac:dyDescent="0.2">
      <c r="A49" s="121"/>
      <c r="B49" s="121"/>
      <c r="C49" s="121"/>
      <c r="D49" s="121"/>
      <c r="E49" s="121" t="s">
        <v>307</v>
      </c>
      <c r="F49" s="121"/>
      <c r="G49" s="122">
        <v>45349</v>
      </c>
      <c r="H49" s="121"/>
      <c r="I49" s="121" t="s">
        <v>491</v>
      </c>
      <c r="J49" s="121"/>
      <c r="K49" s="121" t="s">
        <v>325</v>
      </c>
      <c r="L49" s="121"/>
      <c r="M49" s="121" t="s">
        <v>464</v>
      </c>
      <c r="N49" s="121"/>
      <c r="O49" s="112">
        <v>2500</v>
      </c>
      <c r="P49" s="1"/>
    </row>
    <row r="50" spans="1:16" ht="12.75" x14ac:dyDescent="0.2">
      <c r="A50" s="121"/>
      <c r="B50" s="121"/>
      <c r="C50" s="121"/>
      <c r="D50" s="121"/>
      <c r="E50" s="121" t="s">
        <v>307</v>
      </c>
      <c r="F50" s="121"/>
      <c r="G50" s="122">
        <v>45362</v>
      </c>
      <c r="H50" s="121"/>
      <c r="I50" s="121" t="s">
        <v>492</v>
      </c>
      <c r="J50" s="121"/>
      <c r="K50" s="121" t="s">
        <v>325</v>
      </c>
      <c r="L50" s="121"/>
      <c r="M50" s="121" t="s">
        <v>420</v>
      </c>
      <c r="N50" s="121"/>
      <c r="O50" s="112">
        <v>2500</v>
      </c>
      <c r="P50" s="1"/>
    </row>
    <row r="51" spans="1:16" ht="12.75" x14ac:dyDescent="0.2">
      <c r="A51" s="121"/>
      <c r="B51" s="121"/>
      <c r="C51" s="121"/>
      <c r="D51" s="121"/>
      <c r="E51" s="121" t="s">
        <v>307</v>
      </c>
      <c r="F51" s="121"/>
      <c r="G51" s="122">
        <v>45391</v>
      </c>
      <c r="H51" s="121"/>
      <c r="I51" s="121" t="s">
        <v>493</v>
      </c>
      <c r="J51" s="121"/>
      <c r="K51" s="121" t="s">
        <v>325</v>
      </c>
      <c r="L51" s="121"/>
      <c r="M51" s="121" t="s">
        <v>322</v>
      </c>
      <c r="N51" s="121"/>
      <c r="O51" s="112">
        <v>2500</v>
      </c>
      <c r="P51" s="1"/>
    </row>
    <row r="52" spans="1:16" ht="12.75" x14ac:dyDescent="0.2">
      <c r="A52" s="121"/>
      <c r="B52" s="121"/>
      <c r="C52" s="121"/>
      <c r="D52" s="121"/>
      <c r="E52" s="121" t="s">
        <v>307</v>
      </c>
      <c r="F52" s="121"/>
      <c r="G52" s="122">
        <v>45425</v>
      </c>
      <c r="H52" s="121"/>
      <c r="I52" s="121" t="s">
        <v>494</v>
      </c>
      <c r="J52" s="121"/>
      <c r="K52" s="121" t="s">
        <v>325</v>
      </c>
      <c r="L52" s="121"/>
      <c r="M52" s="121" t="s">
        <v>311</v>
      </c>
      <c r="N52" s="121"/>
      <c r="O52" s="112">
        <v>2500</v>
      </c>
      <c r="P52" s="1"/>
    </row>
    <row r="53" spans="1:16" ht="12.75" x14ac:dyDescent="0.2">
      <c r="A53" s="121"/>
      <c r="B53" s="121"/>
      <c r="C53" s="121"/>
      <c r="D53" s="121"/>
      <c r="E53" s="121" t="s">
        <v>307</v>
      </c>
      <c r="F53" s="121"/>
      <c r="G53" s="122">
        <v>45453</v>
      </c>
      <c r="H53" s="121"/>
      <c r="I53" s="121" t="s">
        <v>324</v>
      </c>
      <c r="J53" s="121"/>
      <c r="K53" s="121" t="s">
        <v>325</v>
      </c>
      <c r="L53" s="121"/>
      <c r="M53" s="121" t="s">
        <v>314</v>
      </c>
      <c r="N53" s="121"/>
      <c r="O53" s="112">
        <v>2500</v>
      </c>
      <c r="P53" s="1"/>
    </row>
    <row r="54" spans="1:16" ht="12.75" x14ac:dyDescent="0.2">
      <c r="A54" s="121"/>
      <c r="B54" s="121"/>
      <c r="C54" s="121"/>
      <c r="D54" s="121"/>
      <c r="E54" s="121" t="s">
        <v>307</v>
      </c>
      <c r="F54" s="121"/>
      <c r="G54" s="122">
        <v>45474</v>
      </c>
      <c r="H54" s="121"/>
      <c r="I54" s="121" t="s">
        <v>946</v>
      </c>
      <c r="J54" s="121"/>
      <c r="K54" s="121" t="s">
        <v>325</v>
      </c>
      <c r="L54" s="121"/>
      <c r="M54" s="121" t="s">
        <v>947</v>
      </c>
      <c r="N54" s="121"/>
      <c r="O54" s="112">
        <v>12423</v>
      </c>
      <c r="P54" s="1"/>
    </row>
    <row r="55" spans="1:16" ht="12.75" x14ac:dyDescent="0.2">
      <c r="A55" s="121"/>
      <c r="B55" s="121"/>
      <c r="C55" s="121"/>
      <c r="D55" s="121"/>
      <c r="E55" s="121" t="s">
        <v>307</v>
      </c>
      <c r="F55" s="121"/>
      <c r="G55" s="122">
        <v>45478</v>
      </c>
      <c r="H55" s="121"/>
      <c r="I55" s="121" t="s">
        <v>948</v>
      </c>
      <c r="J55" s="121"/>
      <c r="K55" s="121" t="s">
        <v>325</v>
      </c>
      <c r="L55" s="121"/>
      <c r="M55" s="121" t="s">
        <v>941</v>
      </c>
      <c r="N55" s="121"/>
      <c r="O55" s="112">
        <v>3000</v>
      </c>
      <c r="P55" s="1"/>
    </row>
    <row r="56" spans="1:16" ht="12.75" x14ac:dyDescent="0.2">
      <c r="A56" s="121"/>
      <c r="B56" s="121"/>
      <c r="C56" s="121"/>
      <c r="D56" s="121"/>
      <c r="E56" s="121" t="s">
        <v>307</v>
      </c>
      <c r="F56" s="121"/>
      <c r="G56" s="122">
        <v>45483</v>
      </c>
      <c r="H56" s="121"/>
      <c r="I56" s="121" t="s">
        <v>949</v>
      </c>
      <c r="J56" s="121"/>
      <c r="K56" s="121" t="s">
        <v>325</v>
      </c>
      <c r="L56" s="121"/>
      <c r="M56" s="121" t="s">
        <v>950</v>
      </c>
      <c r="N56" s="121"/>
      <c r="O56" s="112">
        <v>8000</v>
      </c>
      <c r="P56" s="1"/>
    </row>
    <row r="57" spans="1:16" ht="12.75" x14ac:dyDescent="0.2">
      <c r="A57" s="121"/>
      <c r="B57" s="121"/>
      <c r="C57" s="121"/>
      <c r="D57" s="121"/>
      <c r="E57" s="121" t="s">
        <v>307</v>
      </c>
      <c r="F57" s="121"/>
      <c r="G57" s="122">
        <v>45517</v>
      </c>
      <c r="H57" s="121"/>
      <c r="I57" s="121" t="s">
        <v>1127</v>
      </c>
      <c r="J57" s="121"/>
      <c r="K57" s="121" t="s">
        <v>325</v>
      </c>
      <c r="L57" s="121"/>
      <c r="M57" s="121" t="s">
        <v>970</v>
      </c>
      <c r="N57" s="121"/>
      <c r="O57" s="112">
        <v>3000</v>
      </c>
      <c r="P57" s="1"/>
    </row>
    <row r="58" spans="1:16" ht="12.75" x14ac:dyDescent="0.2">
      <c r="A58" s="121"/>
      <c r="B58" s="121"/>
      <c r="C58" s="121"/>
      <c r="D58" s="121"/>
      <c r="E58" s="121" t="s">
        <v>307</v>
      </c>
      <c r="F58" s="121"/>
      <c r="G58" s="122">
        <v>45350</v>
      </c>
      <c r="H58" s="121"/>
      <c r="I58" s="121" t="s">
        <v>495</v>
      </c>
      <c r="J58" s="121"/>
      <c r="K58" s="121" t="s">
        <v>496</v>
      </c>
      <c r="L58" s="121"/>
      <c r="M58" s="121" t="s">
        <v>497</v>
      </c>
      <c r="N58" s="121"/>
      <c r="O58" s="112">
        <v>7200</v>
      </c>
      <c r="P58" s="1"/>
    </row>
    <row r="59" spans="1:16" ht="12.75" x14ac:dyDescent="0.2">
      <c r="A59" s="121"/>
      <c r="B59" s="121"/>
      <c r="C59" s="121"/>
      <c r="D59" s="121"/>
      <c r="E59" s="121" t="s">
        <v>307</v>
      </c>
      <c r="F59" s="121"/>
      <c r="G59" s="122">
        <v>45315</v>
      </c>
      <c r="H59" s="121"/>
      <c r="I59" s="121" t="s">
        <v>498</v>
      </c>
      <c r="J59" s="121"/>
      <c r="K59" s="121" t="s">
        <v>327</v>
      </c>
      <c r="L59" s="121"/>
      <c r="M59" s="121" t="s">
        <v>462</v>
      </c>
      <c r="N59" s="121"/>
      <c r="O59" s="112">
        <v>280</v>
      </c>
      <c r="P59" s="1"/>
    </row>
    <row r="60" spans="1:16" ht="12.75" x14ac:dyDescent="0.2">
      <c r="A60" s="121"/>
      <c r="B60" s="121"/>
      <c r="C60" s="121"/>
      <c r="D60" s="121"/>
      <c r="E60" s="121" t="s">
        <v>307</v>
      </c>
      <c r="F60" s="121"/>
      <c r="G60" s="122">
        <v>45349</v>
      </c>
      <c r="H60" s="121"/>
      <c r="I60" s="121" t="s">
        <v>499</v>
      </c>
      <c r="J60" s="121"/>
      <c r="K60" s="121" t="s">
        <v>327</v>
      </c>
      <c r="L60" s="121"/>
      <c r="M60" s="121" t="s">
        <v>464</v>
      </c>
      <c r="N60" s="121"/>
      <c r="O60" s="112">
        <v>280</v>
      </c>
      <c r="P60" s="1"/>
    </row>
    <row r="61" spans="1:16" ht="12.75" x14ac:dyDescent="0.2">
      <c r="A61" s="121"/>
      <c r="B61" s="121"/>
      <c r="C61" s="121"/>
      <c r="D61" s="121"/>
      <c r="E61" s="121" t="s">
        <v>307</v>
      </c>
      <c r="F61" s="121"/>
      <c r="G61" s="122">
        <v>45376</v>
      </c>
      <c r="H61" s="121"/>
      <c r="I61" s="121" t="s">
        <v>500</v>
      </c>
      <c r="J61" s="121"/>
      <c r="K61" s="121" t="s">
        <v>327</v>
      </c>
      <c r="L61" s="121"/>
      <c r="M61" s="121" t="s">
        <v>420</v>
      </c>
      <c r="N61" s="121"/>
      <c r="O61" s="112">
        <v>280</v>
      </c>
      <c r="P61" s="1"/>
    </row>
    <row r="62" spans="1:16" ht="12.75" x14ac:dyDescent="0.2">
      <c r="A62" s="121"/>
      <c r="B62" s="121"/>
      <c r="C62" s="121"/>
      <c r="D62" s="121"/>
      <c r="E62" s="121" t="s">
        <v>307</v>
      </c>
      <c r="F62" s="121"/>
      <c r="G62" s="122">
        <v>45404</v>
      </c>
      <c r="H62" s="121"/>
      <c r="I62" s="121" t="s">
        <v>501</v>
      </c>
      <c r="J62" s="121"/>
      <c r="K62" s="121" t="s">
        <v>327</v>
      </c>
      <c r="L62" s="121"/>
      <c r="M62" s="121" t="s">
        <v>322</v>
      </c>
      <c r="N62" s="121"/>
      <c r="O62" s="112">
        <v>280</v>
      </c>
      <c r="P62" s="1"/>
    </row>
    <row r="63" spans="1:16" ht="12.75" x14ac:dyDescent="0.2">
      <c r="A63" s="121"/>
      <c r="B63" s="121"/>
      <c r="C63" s="121"/>
      <c r="D63" s="121"/>
      <c r="E63" s="121" t="s">
        <v>307</v>
      </c>
      <c r="F63" s="121"/>
      <c r="G63" s="122">
        <v>45440</v>
      </c>
      <c r="H63" s="121"/>
      <c r="I63" s="121" t="s">
        <v>502</v>
      </c>
      <c r="J63" s="121"/>
      <c r="K63" s="121" t="s">
        <v>327</v>
      </c>
      <c r="L63" s="121"/>
      <c r="M63" s="121" t="s">
        <v>311</v>
      </c>
      <c r="N63" s="121"/>
      <c r="O63" s="112">
        <v>280</v>
      </c>
      <c r="P63" s="1"/>
    </row>
    <row r="64" spans="1:16" ht="12.75" x14ac:dyDescent="0.2">
      <c r="A64" s="121"/>
      <c r="B64" s="121"/>
      <c r="C64" s="121"/>
      <c r="D64" s="121"/>
      <c r="E64" s="121" t="s">
        <v>307</v>
      </c>
      <c r="F64" s="121"/>
      <c r="G64" s="122">
        <v>45469</v>
      </c>
      <c r="H64" s="121"/>
      <c r="I64" s="121" t="s">
        <v>326</v>
      </c>
      <c r="J64" s="121"/>
      <c r="K64" s="121" t="s">
        <v>327</v>
      </c>
      <c r="L64" s="121"/>
      <c r="M64" s="121" t="s">
        <v>314</v>
      </c>
      <c r="N64" s="121"/>
      <c r="O64" s="112">
        <v>280</v>
      </c>
      <c r="P64" s="1"/>
    </row>
    <row r="65" spans="1:16" ht="12.75" x14ac:dyDescent="0.2">
      <c r="A65" s="121"/>
      <c r="B65" s="121"/>
      <c r="C65" s="121"/>
      <c r="D65" s="121"/>
      <c r="E65" s="121" t="s">
        <v>307</v>
      </c>
      <c r="F65" s="121"/>
      <c r="G65" s="122">
        <v>45491</v>
      </c>
      <c r="H65" s="121"/>
      <c r="I65" s="121" t="s">
        <v>951</v>
      </c>
      <c r="J65" s="121"/>
      <c r="K65" s="121" t="s">
        <v>327</v>
      </c>
      <c r="L65" s="121"/>
      <c r="M65" s="121" t="s">
        <v>941</v>
      </c>
      <c r="N65" s="121"/>
      <c r="O65" s="112">
        <v>280</v>
      </c>
      <c r="P65" s="1"/>
    </row>
    <row r="66" spans="1:16" ht="12.75" x14ac:dyDescent="0.2">
      <c r="A66" s="121"/>
      <c r="B66" s="121"/>
      <c r="C66" s="121"/>
      <c r="D66" s="121"/>
      <c r="E66" s="121" t="s">
        <v>307</v>
      </c>
      <c r="F66" s="121"/>
      <c r="G66" s="122">
        <v>45369</v>
      </c>
      <c r="H66" s="121"/>
      <c r="I66" s="121" t="s">
        <v>503</v>
      </c>
      <c r="J66" s="121"/>
      <c r="K66" s="121" t="s">
        <v>504</v>
      </c>
      <c r="L66" s="121"/>
      <c r="M66" s="121" t="s">
        <v>505</v>
      </c>
      <c r="N66" s="121"/>
      <c r="O66" s="112">
        <v>6625.02</v>
      </c>
      <c r="P66" s="1"/>
    </row>
    <row r="67" spans="1:16" ht="12.75" x14ac:dyDescent="0.2">
      <c r="A67" s="121"/>
      <c r="B67" s="121"/>
      <c r="C67" s="121"/>
      <c r="D67" s="121"/>
      <c r="E67" s="121" t="s">
        <v>307</v>
      </c>
      <c r="F67" s="121"/>
      <c r="G67" s="122">
        <v>45433</v>
      </c>
      <c r="H67" s="121"/>
      <c r="I67" s="121" t="s">
        <v>506</v>
      </c>
      <c r="J67" s="121"/>
      <c r="K67" s="121" t="s">
        <v>504</v>
      </c>
      <c r="L67" s="121"/>
      <c r="M67" s="121" t="s">
        <v>676</v>
      </c>
      <c r="N67" s="121"/>
      <c r="O67" s="112">
        <v>4416.68</v>
      </c>
      <c r="P67" s="1"/>
    </row>
    <row r="68" spans="1:16" ht="12.75" x14ac:dyDescent="0.2">
      <c r="A68" s="121"/>
      <c r="B68" s="121"/>
      <c r="C68" s="121"/>
      <c r="D68" s="121"/>
      <c r="E68" s="121" t="s">
        <v>307</v>
      </c>
      <c r="F68" s="121"/>
      <c r="G68" s="122">
        <v>45511</v>
      </c>
      <c r="H68" s="121"/>
      <c r="I68" s="121" t="s">
        <v>1128</v>
      </c>
      <c r="J68" s="121"/>
      <c r="K68" s="121" t="s">
        <v>504</v>
      </c>
      <c r="L68" s="121"/>
      <c r="M68" s="121" t="s">
        <v>1129</v>
      </c>
      <c r="N68" s="121"/>
      <c r="O68" s="112">
        <v>4416.68</v>
      </c>
      <c r="P68" s="1"/>
    </row>
    <row r="69" spans="1:16" ht="12.75" x14ac:dyDescent="0.2">
      <c r="A69" s="121"/>
      <c r="B69" s="121"/>
      <c r="C69" s="121"/>
      <c r="D69" s="121"/>
      <c r="E69" s="121" t="s">
        <v>307</v>
      </c>
      <c r="F69" s="121"/>
      <c r="G69" s="122">
        <v>45331</v>
      </c>
      <c r="H69" s="121"/>
      <c r="I69" s="121" t="s">
        <v>508</v>
      </c>
      <c r="J69" s="121"/>
      <c r="K69" s="121" t="s">
        <v>509</v>
      </c>
      <c r="L69" s="121"/>
      <c r="M69" s="121" t="s">
        <v>462</v>
      </c>
      <c r="N69" s="121"/>
      <c r="O69" s="112">
        <v>541.66999999999996</v>
      </c>
      <c r="P69" s="1"/>
    </row>
    <row r="70" spans="1:16" ht="12.75" x14ac:dyDescent="0.2">
      <c r="A70" s="121"/>
      <c r="B70" s="121"/>
      <c r="C70" s="121"/>
      <c r="D70" s="121"/>
      <c r="E70" s="121" t="s">
        <v>307</v>
      </c>
      <c r="F70" s="121"/>
      <c r="G70" s="122">
        <v>45336</v>
      </c>
      <c r="H70" s="121"/>
      <c r="I70" s="121" t="s">
        <v>510</v>
      </c>
      <c r="J70" s="121"/>
      <c r="K70" s="121" t="s">
        <v>509</v>
      </c>
      <c r="L70" s="121"/>
      <c r="M70" s="121" t="s">
        <v>464</v>
      </c>
      <c r="N70" s="121"/>
      <c r="O70" s="112">
        <v>541.66999999999996</v>
      </c>
      <c r="P70" s="1"/>
    </row>
    <row r="71" spans="1:16" ht="12.75" x14ac:dyDescent="0.2">
      <c r="A71" s="121"/>
      <c r="B71" s="121"/>
      <c r="C71" s="121"/>
      <c r="D71" s="121"/>
      <c r="E71" s="121" t="s">
        <v>307</v>
      </c>
      <c r="F71" s="121"/>
      <c r="G71" s="122">
        <v>45411</v>
      </c>
      <c r="H71" s="121"/>
      <c r="I71" s="121" t="s">
        <v>511</v>
      </c>
      <c r="J71" s="121"/>
      <c r="K71" s="121" t="s">
        <v>509</v>
      </c>
      <c r="L71" s="121"/>
      <c r="M71" s="121" t="s">
        <v>420</v>
      </c>
      <c r="N71" s="121"/>
      <c r="O71" s="112">
        <v>541.66999999999996</v>
      </c>
      <c r="P71" s="1"/>
    </row>
    <row r="72" spans="1:16" ht="12.75" x14ac:dyDescent="0.2">
      <c r="A72" s="121"/>
      <c r="B72" s="121"/>
      <c r="C72" s="121"/>
      <c r="D72" s="121"/>
      <c r="E72" s="121" t="s">
        <v>307</v>
      </c>
      <c r="F72" s="121"/>
      <c r="G72" s="122">
        <v>45411</v>
      </c>
      <c r="H72" s="121"/>
      <c r="I72" s="121" t="s">
        <v>512</v>
      </c>
      <c r="J72" s="121"/>
      <c r="K72" s="121" t="s">
        <v>509</v>
      </c>
      <c r="L72" s="121"/>
      <c r="M72" s="121" t="s">
        <v>322</v>
      </c>
      <c r="N72" s="121"/>
      <c r="O72" s="112">
        <v>541.66999999999996</v>
      </c>
      <c r="P72" s="1"/>
    </row>
    <row r="73" spans="1:16" ht="12.75" x14ac:dyDescent="0.2">
      <c r="A73" s="121"/>
      <c r="B73" s="121"/>
      <c r="C73" s="121"/>
      <c r="D73" s="121"/>
      <c r="E73" s="121" t="s">
        <v>307</v>
      </c>
      <c r="F73" s="121"/>
      <c r="G73" s="122">
        <v>45411</v>
      </c>
      <c r="H73" s="121"/>
      <c r="I73" s="121" t="s">
        <v>513</v>
      </c>
      <c r="J73" s="121"/>
      <c r="K73" s="121" t="s">
        <v>509</v>
      </c>
      <c r="L73" s="121"/>
      <c r="M73" s="121" t="s">
        <v>311</v>
      </c>
      <c r="N73" s="121"/>
      <c r="O73" s="112">
        <v>541.66999999999996</v>
      </c>
      <c r="P73" s="1"/>
    </row>
    <row r="74" spans="1:16" ht="12.75" x14ac:dyDescent="0.2">
      <c r="A74" s="121"/>
      <c r="B74" s="121"/>
      <c r="C74" s="121"/>
      <c r="D74" s="121"/>
      <c r="E74" s="121" t="s">
        <v>307</v>
      </c>
      <c r="F74" s="121"/>
      <c r="G74" s="122">
        <v>45447</v>
      </c>
      <c r="H74" s="121"/>
      <c r="I74" s="121" t="s">
        <v>328</v>
      </c>
      <c r="J74" s="121"/>
      <c r="K74" s="121" t="s">
        <v>329</v>
      </c>
      <c r="L74" s="121"/>
      <c r="M74" s="121" t="s">
        <v>330</v>
      </c>
      <c r="N74" s="121"/>
      <c r="O74" s="112">
        <v>3500.04</v>
      </c>
      <c r="P74" s="1"/>
    </row>
    <row r="75" spans="1:16" ht="12.75" x14ac:dyDescent="0.2">
      <c r="A75" s="121"/>
      <c r="B75" s="121"/>
      <c r="C75" s="121"/>
      <c r="D75" s="121"/>
      <c r="E75" s="121" t="s">
        <v>307</v>
      </c>
      <c r="F75" s="121"/>
      <c r="G75" s="122">
        <v>45310</v>
      </c>
      <c r="H75" s="121"/>
      <c r="I75" s="121" t="s">
        <v>514</v>
      </c>
      <c r="J75" s="121"/>
      <c r="K75" s="121" t="s">
        <v>332</v>
      </c>
      <c r="L75" s="121"/>
      <c r="M75" s="121" t="s">
        <v>482</v>
      </c>
      <c r="N75" s="121"/>
      <c r="O75" s="112">
        <v>2916.67</v>
      </c>
      <c r="P75" s="1"/>
    </row>
    <row r="76" spans="1:16" ht="12.75" x14ac:dyDescent="0.2">
      <c r="A76" s="121"/>
      <c r="B76" s="121"/>
      <c r="C76" s="121"/>
      <c r="D76" s="121"/>
      <c r="E76" s="121" t="s">
        <v>307</v>
      </c>
      <c r="F76" s="121"/>
      <c r="G76" s="122">
        <v>45331</v>
      </c>
      <c r="H76" s="121"/>
      <c r="I76" s="121" t="s">
        <v>515</v>
      </c>
      <c r="J76" s="121"/>
      <c r="K76" s="121" t="s">
        <v>332</v>
      </c>
      <c r="L76" s="121"/>
      <c r="M76" s="121" t="s">
        <v>462</v>
      </c>
      <c r="N76" s="121"/>
      <c r="O76" s="112">
        <v>2916.67</v>
      </c>
      <c r="P76" s="1"/>
    </row>
    <row r="77" spans="1:16" ht="12.75" x14ac:dyDescent="0.2">
      <c r="A77" s="121"/>
      <c r="B77" s="121"/>
      <c r="C77" s="121"/>
      <c r="D77" s="121"/>
      <c r="E77" s="121" t="s">
        <v>307</v>
      </c>
      <c r="F77" s="121"/>
      <c r="G77" s="122">
        <v>45350</v>
      </c>
      <c r="H77" s="121"/>
      <c r="I77" s="121" t="s">
        <v>516</v>
      </c>
      <c r="J77" s="121"/>
      <c r="K77" s="121" t="s">
        <v>332</v>
      </c>
      <c r="L77" s="121"/>
      <c r="M77" s="121" t="s">
        <v>464</v>
      </c>
      <c r="N77" s="121"/>
      <c r="O77" s="112">
        <v>2916.67</v>
      </c>
      <c r="P77" s="1"/>
    </row>
    <row r="78" spans="1:16" ht="12.75" x14ac:dyDescent="0.2">
      <c r="A78" s="121"/>
      <c r="B78" s="121"/>
      <c r="C78" s="121"/>
      <c r="D78" s="121"/>
      <c r="E78" s="121" t="s">
        <v>307</v>
      </c>
      <c r="F78" s="121"/>
      <c r="G78" s="122">
        <v>45378</v>
      </c>
      <c r="H78" s="121"/>
      <c r="I78" s="121" t="s">
        <v>517</v>
      </c>
      <c r="J78" s="121"/>
      <c r="K78" s="121" t="s">
        <v>332</v>
      </c>
      <c r="L78" s="121"/>
      <c r="M78" s="121" t="s">
        <v>420</v>
      </c>
      <c r="N78" s="121"/>
      <c r="O78" s="112">
        <v>2916.67</v>
      </c>
      <c r="P78" s="1"/>
    </row>
    <row r="79" spans="1:16" ht="12.75" x14ac:dyDescent="0.2">
      <c r="A79" s="121"/>
      <c r="B79" s="121"/>
      <c r="C79" s="121"/>
      <c r="D79" s="121"/>
      <c r="E79" s="121" t="s">
        <v>307</v>
      </c>
      <c r="F79" s="121"/>
      <c r="G79" s="122">
        <v>45418</v>
      </c>
      <c r="H79" s="121"/>
      <c r="I79" s="121" t="s">
        <v>518</v>
      </c>
      <c r="J79" s="121"/>
      <c r="K79" s="121" t="s">
        <v>332</v>
      </c>
      <c r="L79" s="121"/>
      <c r="M79" s="121" t="s">
        <v>322</v>
      </c>
      <c r="N79" s="121"/>
      <c r="O79" s="112">
        <v>2916.67</v>
      </c>
      <c r="P79" s="1"/>
    </row>
    <row r="80" spans="1:16" ht="12.75" x14ac:dyDescent="0.2">
      <c r="A80" s="121"/>
      <c r="B80" s="121"/>
      <c r="C80" s="121"/>
      <c r="D80" s="121"/>
      <c r="E80" s="121" t="s">
        <v>307</v>
      </c>
      <c r="F80" s="121"/>
      <c r="G80" s="122">
        <v>45435</v>
      </c>
      <c r="H80" s="121"/>
      <c r="I80" s="121" t="s">
        <v>519</v>
      </c>
      <c r="J80" s="121"/>
      <c r="K80" s="121" t="s">
        <v>332</v>
      </c>
      <c r="L80" s="121"/>
      <c r="M80" s="121" t="s">
        <v>311</v>
      </c>
      <c r="N80" s="121"/>
      <c r="O80" s="112">
        <v>2916.67</v>
      </c>
      <c r="P80" s="1"/>
    </row>
    <row r="81" spans="1:16" ht="12.75" x14ac:dyDescent="0.2">
      <c r="A81" s="121"/>
      <c r="B81" s="121"/>
      <c r="C81" s="121"/>
      <c r="D81" s="121"/>
      <c r="E81" s="121" t="s">
        <v>307</v>
      </c>
      <c r="F81" s="121"/>
      <c r="G81" s="122">
        <v>45469</v>
      </c>
      <c r="H81" s="121"/>
      <c r="I81" s="121" t="s">
        <v>331</v>
      </c>
      <c r="J81" s="121"/>
      <c r="K81" s="121" t="s">
        <v>332</v>
      </c>
      <c r="L81" s="121"/>
      <c r="M81" s="121" t="s">
        <v>314</v>
      </c>
      <c r="N81" s="121"/>
      <c r="O81" s="112">
        <v>2916.67</v>
      </c>
      <c r="P81" s="1"/>
    </row>
    <row r="82" spans="1:16" ht="12.75" x14ac:dyDescent="0.2">
      <c r="A82" s="121"/>
      <c r="B82" s="121"/>
      <c r="C82" s="121"/>
      <c r="D82" s="121"/>
      <c r="E82" s="121" t="s">
        <v>307</v>
      </c>
      <c r="F82" s="121"/>
      <c r="G82" s="122">
        <v>45499</v>
      </c>
      <c r="H82" s="121"/>
      <c r="I82" s="121" t="s">
        <v>952</v>
      </c>
      <c r="J82" s="121"/>
      <c r="K82" s="121" t="s">
        <v>332</v>
      </c>
      <c r="L82" s="121"/>
      <c r="M82" s="121" t="s">
        <v>941</v>
      </c>
      <c r="N82" s="121"/>
      <c r="O82" s="112">
        <v>2916.67</v>
      </c>
      <c r="P82" s="1"/>
    </row>
    <row r="83" spans="1:16" ht="12.75" x14ac:dyDescent="0.2">
      <c r="A83" s="121"/>
      <c r="B83" s="121"/>
      <c r="C83" s="121"/>
      <c r="D83" s="121"/>
      <c r="E83" s="121" t="s">
        <v>307</v>
      </c>
      <c r="F83" s="121"/>
      <c r="G83" s="122">
        <v>45532</v>
      </c>
      <c r="H83" s="121"/>
      <c r="I83" s="121" t="s">
        <v>1130</v>
      </c>
      <c r="J83" s="121"/>
      <c r="K83" s="121" t="s">
        <v>332</v>
      </c>
      <c r="L83" s="121"/>
      <c r="M83" s="121" t="s">
        <v>970</v>
      </c>
      <c r="N83" s="121"/>
      <c r="O83" s="112">
        <v>2916.67</v>
      </c>
      <c r="P83" s="1"/>
    </row>
    <row r="84" spans="1:16" ht="12.75" x14ac:dyDescent="0.2">
      <c r="A84" s="121"/>
      <c r="B84" s="121"/>
      <c r="C84" s="121"/>
      <c r="D84" s="121"/>
      <c r="E84" s="121" t="s">
        <v>307</v>
      </c>
      <c r="F84" s="121"/>
      <c r="G84" s="122">
        <v>45302</v>
      </c>
      <c r="H84" s="121"/>
      <c r="I84" s="121" t="s">
        <v>520</v>
      </c>
      <c r="J84" s="121"/>
      <c r="K84" s="121" t="s">
        <v>334</v>
      </c>
      <c r="L84" s="121"/>
      <c r="M84" s="121" t="s">
        <v>462</v>
      </c>
      <c r="N84" s="121"/>
      <c r="O84" s="112">
        <v>416.67</v>
      </c>
      <c r="P84" s="1"/>
    </row>
    <row r="85" spans="1:16" ht="12.75" x14ac:dyDescent="0.2">
      <c r="A85" s="121"/>
      <c r="B85" s="121"/>
      <c r="C85" s="121"/>
      <c r="D85" s="121"/>
      <c r="E85" s="121" t="s">
        <v>307</v>
      </c>
      <c r="F85" s="121"/>
      <c r="G85" s="122">
        <v>45329</v>
      </c>
      <c r="H85" s="121"/>
      <c r="I85" s="121" t="s">
        <v>521</v>
      </c>
      <c r="J85" s="121"/>
      <c r="K85" s="121" t="s">
        <v>334</v>
      </c>
      <c r="L85" s="121"/>
      <c r="M85" s="121" t="s">
        <v>464</v>
      </c>
      <c r="N85" s="121"/>
      <c r="O85" s="112">
        <v>416.67</v>
      </c>
      <c r="P85" s="1"/>
    </row>
    <row r="86" spans="1:16" ht="12.75" x14ac:dyDescent="0.2">
      <c r="A86" s="121"/>
      <c r="B86" s="121"/>
      <c r="C86" s="121"/>
      <c r="D86" s="121"/>
      <c r="E86" s="121" t="s">
        <v>307</v>
      </c>
      <c r="F86" s="121"/>
      <c r="G86" s="122">
        <v>45362</v>
      </c>
      <c r="H86" s="121"/>
      <c r="I86" s="121" t="s">
        <v>522</v>
      </c>
      <c r="J86" s="121"/>
      <c r="K86" s="121" t="s">
        <v>334</v>
      </c>
      <c r="L86" s="121"/>
      <c r="M86" s="121" t="s">
        <v>420</v>
      </c>
      <c r="N86" s="121"/>
      <c r="O86" s="112">
        <v>416.66</v>
      </c>
      <c r="P86" s="1"/>
    </row>
    <row r="87" spans="1:16" ht="12.75" x14ac:dyDescent="0.2">
      <c r="A87" s="121"/>
      <c r="B87" s="121"/>
      <c r="C87" s="121"/>
      <c r="D87" s="121"/>
      <c r="E87" s="121" t="s">
        <v>307</v>
      </c>
      <c r="F87" s="121"/>
      <c r="G87" s="122">
        <v>45391</v>
      </c>
      <c r="H87" s="121"/>
      <c r="I87" s="121" t="s">
        <v>523</v>
      </c>
      <c r="J87" s="121"/>
      <c r="K87" s="121" t="s">
        <v>334</v>
      </c>
      <c r="L87" s="121"/>
      <c r="M87" s="121" t="s">
        <v>322</v>
      </c>
      <c r="N87" s="121"/>
      <c r="O87" s="112">
        <v>416.67</v>
      </c>
      <c r="P87" s="1"/>
    </row>
    <row r="88" spans="1:16" ht="12.75" x14ac:dyDescent="0.2">
      <c r="A88" s="121"/>
      <c r="B88" s="121"/>
      <c r="C88" s="121"/>
      <c r="D88" s="121"/>
      <c r="E88" s="121" t="s">
        <v>307</v>
      </c>
      <c r="F88" s="121"/>
      <c r="G88" s="122">
        <v>45418</v>
      </c>
      <c r="H88" s="121"/>
      <c r="I88" s="121" t="s">
        <v>524</v>
      </c>
      <c r="J88" s="121"/>
      <c r="K88" s="121" t="s">
        <v>334</v>
      </c>
      <c r="L88" s="121"/>
      <c r="M88" s="121" t="s">
        <v>311</v>
      </c>
      <c r="N88" s="121"/>
      <c r="O88" s="112">
        <v>416.67</v>
      </c>
      <c r="P88" s="1"/>
    </row>
    <row r="89" spans="1:16" ht="12.75" x14ac:dyDescent="0.2">
      <c r="A89" s="121"/>
      <c r="B89" s="121"/>
      <c r="C89" s="121"/>
      <c r="D89" s="121"/>
      <c r="E89" s="121" t="s">
        <v>307</v>
      </c>
      <c r="F89" s="121"/>
      <c r="G89" s="122">
        <v>45461</v>
      </c>
      <c r="H89" s="121"/>
      <c r="I89" s="121" t="s">
        <v>333</v>
      </c>
      <c r="J89" s="121"/>
      <c r="K89" s="121" t="s">
        <v>334</v>
      </c>
      <c r="L89" s="121"/>
      <c r="M89" s="121" t="s">
        <v>314</v>
      </c>
      <c r="N89" s="121"/>
      <c r="O89" s="112">
        <v>416.66</v>
      </c>
      <c r="P89" s="1"/>
    </row>
    <row r="90" spans="1:16" ht="12.75" x14ac:dyDescent="0.2">
      <c r="A90" s="121"/>
      <c r="B90" s="121"/>
      <c r="C90" s="121"/>
      <c r="D90" s="121"/>
      <c r="E90" s="121" t="s">
        <v>307</v>
      </c>
      <c r="F90" s="121"/>
      <c r="G90" s="122">
        <v>45483</v>
      </c>
      <c r="H90" s="121"/>
      <c r="I90" s="121" t="s">
        <v>953</v>
      </c>
      <c r="J90" s="121"/>
      <c r="K90" s="121" t="s">
        <v>334</v>
      </c>
      <c r="L90" s="121"/>
      <c r="M90" s="121" t="s">
        <v>941</v>
      </c>
      <c r="N90" s="121"/>
      <c r="O90" s="112">
        <v>416.66</v>
      </c>
      <c r="P90" s="1"/>
    </row>
    <row r="91" spans="1:16" ht="12.75" x14ac:dyDescent="0.2">
      <c r="A91" s="121"/>
      <c r="B91" s="121"/>
      <c r="C91" s="121"/>
      <c r="D91" s="121"/>
      <c r="E91" s="121" t="s">
        <v>307</v>
      </c>
      <c r="F91" s="121"/>
      <c r="G91" s="122">
        <v>45513</v>
      </c>
      <c r="H91" s="121"/>
      <c r="I91" s="121" t="s">
        <v>1131</v>
      </c>
      <c r="J91" s="121"/>
      <c r="K91" s="121" t="s">
        <v>334</v>
      </c>
      <c r="L91" s="121"/>
      <c r="M91" s="121" t="s">
        <v>970</v>
      </c>
      <c r="N91" s="121"/>
      <c r="O91" s="112">
        <v>416.67</v>
      </c>
      <c r="P91" s="1"/>
    </row>
    <row r="92" spans="1:16" ht="12.75" x14ac:dyDescent="0.2">
      <c r="A92" s="121"/>
      <c r="B92" s="121"/>
      <c r="C92" s="121"/>
      <c r="D92" s="121"/>
      <c r="E92" s="121" t="s">
        <v>307</v>
      </c>
      <c r="F92" s="121"/>
      <c r="G92" s="122">
        <v>45398</v>
      </c>
      <c r="H92" s="121"/>
      <c r="I92" s="121" t="s">
        <v>525</v>
      </c>
      <c r="J92" s="121"/>
      <c r="K92" s="121" t="s">
        <v>20</v>
      </c>
      <c r="L92" s="121"/>
      <c r="M92" s="121" t="s">
        <v>505</v>
      </c>
      <c r="N92" s="121"/>
      <c r="O92" s="112">
        <v>622.20000000000005</v>
      </c>
      <c r="P92" s="1"/>
    </row>
    <row r="93" spans="1:16" ht="12.75" x14ac:dyDescent="0.2">
      <c r="A93" s="121"/>
      <c r="B93" s="121"/>
      <c r="C93" s="121"/>
      <c r="D93" s="121"/>
      <c r="E93" s="121" t="s">
        <v>307</v>
      </c>
      <c r="F93" s="121"/>
      <c r="G93" s="122">
        <v>45484</v>
      </c>
      <c r="H93" s="121"/>
      <c r="I93" s="121" t="s">
        <v>954</v>
      </c>
      <c r="J93" s="121"/>
      <c r="K93" s="121" t="s">
        <v>20</v>
      </c>
      <c r="L93" s="121"/>
      <c r="M93" s="121" t="s">
        <v>612</v>
      </c>
      <c r="N93" s="121"/>
      <c r="O93" s="112">
        <v>556.79999999999995</v>
      </c>
      <c r="P93" s="1"/>
    </row>
    <row r="94" spans="1:16" ht="12.75" x14ac:dyDescent="0.2">
      <c r="A94" s="121"/>
      <c r="B94" s="121"/>
      <c r="C94" s="121"/>
      <c r="D94" s="121"/>
      <c r="E94" s="121" t="s">
        <v>307</v>
      </c>
      <c r="F94" s="121"/>
      <c r="G94" s="122">
        <v>45315</v>
      </c>
      <c r="H94" s="121"/>
      <c r="I94" s="121" t="s">
        <v>526</v>
      </c>
      <c r="J94" s="121"/>
      <c r="K94" s="121" t="s">
        <v>336</v>
      </c>
      <c r="L94" s="121"/>
      <c r="M94" s="121" t="s">
        <v>462</v>
      </c>
      <c r="N94" s="121"/>
      <c r="O94" s="112">
        <v>333.34</v>
      </c>
      <c r="P94" s="1"/>
    </row>
    <row r="95" spans="1:16" ht="12.75" x14ac:dyDescent="0.2">
      <c r="A95" s="121"/>
      <c r="B95" s="121"/>
      <c r="C95" s="121"/>
      <c r="D95" s="121"/>
      <c r="E95" s="121" t="s">
        <v>307</v>
      </c>
      <c r="F95" s="121"/>
      <c r="G95" s="122">
        <v>45349</v>
      </c>
      <c r="H95" s="121"/>
      <c r="I95" s="121" t="s">
        <v>527</v>
      </c>
      <c r="J95" s="121"/>
      <c r="K95" s="121" t="s">
        <v>336</v>
      </c>
      <c r="L95" s="121"/>
      <c r="M95" s="121" t="s">
        <v>464</v>
      </c>
      <c r="N95" s="121"/>
      <c r="O95" s="112">
        <v>333.34</v>
      </c>
      <c r="P95" s="1"/>
    </row>
    <row r="96" spans="1:16" ht="12.75" x14ac:dyDescent="0.2">
      <c r="A96" s="121"/>
      <c r="B96" s="121"/>
      <c r="C96" s="121"/>
      <c r="D96" s="121"/>
      <c r="E96" s="121" t="s">
        <v>307</v>
      </c>
      <c r="F96" s="121"/>
      <c r="G96" s="122">
        <v>45384</v>
      </c>
      <c r="H96" s="121"/>
      <c r="I96" s="121" t="s">
        <v>528</v>
      </c>
      <c r="J96" s="121"/>
      <c r="K96" s="121" t="s">
        <v>336</v>
      </c>
      <c r="L96" s="121"/>
      <c r="M96" s="121" t="s">
        <v>420</v>
      </c>
      <c r="N96" s="121"/>
      <c r="O96" s="112">
        <v>333.33</v>
      </c>
      <c r="P96" s="1"/>
    </row>
    <row r="97" spans="1:16" ht="12.75" x14ac:dyDescent="0.2">
      <c r="A97" s="121"/>
      <c r="B97" s="121"/>
      <c r="C97" s="121"/>
      <c r="D97" s="121"/>
      <c r="E97" s="121" t="s">
        <v>307</v>
      </c>
      <c r="F97" s="121"/>
      <c r="G97" s="122">
        <v>45418</v>
      </c>
      <c r="H97" s="121"/>
      <c r="I97" s="121" t="s">
        <v>529</v>
      </c>
      <c r="J97" s="121"/>
      <c r="K97" s="121" t="s">
        <v>336</v>
      </c>
      <c r="L97" s="121"/>
      <c r="M97" s="121" t="s">
        <v>322</v>
      </c>
      <c r="N97" s="121"/>
      <c r="O97" s="112">
        <v>333.33</v>
      </c>
      <c r="P97" s="1"/>
    </row>
    <row r="98" spans="1:16" ht="12.75" x14ac:dyDescent="0.2">
      <c r="A98" s="121"/>
      <c r="B98" s="121"/>
      <c r="C98" s="121"/>
      <c r="D98" s="121"/>
      <c r="E98" s="121" t="s">
        <v>307</v>
      </c>
      <c r="F98" s="121"/>
      <c r="G98" s="122">
        <v>45433</v>
      </c>
      <c r="H98" s="121"/>
      <c r="I98" s="121" t="s">
        <v>530</v>
      </c>
      <c r="J98" s="121"/>
      <c r="K98" s="121" t="s">
        <v>336</v>
      </c>
      <c r="L98" s="121"/>
      <c r="M98" s="121" t="s">
        <v>311</v>
      </c>
      <c r="N98" s="121"/>
      <c r="O98" s="112">
        <v>333.33</v>
      </c>
      <c r="P98" s="1"/>
    </row>
    <row r="99" spans="1:16" ht="12.75" x14ac:dyDescent="0.2">
      <c r="A99" s="121"/>
      <c r="B99" s="121"/>
      <c r="C99" s="121"/>
      <c r="D99" s="121"/>
      <c r="E99" s="121" t="s">
        <v>307</v>
      </c>
      <c r="F99" s="121"/>
      <c r="G99" s="122">
        <v>45453</v>
      </c>
      <c r="H99" s="121"/>
      <c r="I99" s="121" t="s">
        <v>335</v>
      </c>
      <c r="J99" s="121"/>
      <c r="K99" s="121" t="s">
        <v>336</v>
      </c>
      <c r="L99" s="121"/>
      <c r="M99" s="121" t="s">
        <v>314</v>
      </c>
      <c r="N99" s="121"/>
      <c r="O99" s="112">
        <v>333.33</v>
      </c>
      <c r="P99" s="1"/>
    </row>
    <row r="100" spans="1:16" ht="12.75" x14ac:dyDescent="0.2">
      <c r="A100" s="121"/>
      <c r="B100" s="121"/>
      <c r="C100" s="121"/>
      <c r="D100" s="121"/>
      <c r="E100" s="121" t="s">
        <v>307</v>
      </c>
      <c r="F100" s="121"/>
      <c r="G100" s="122">
        <v>45492</v>
      </c>
      <c r="H100" s="121"/>
      <c r="I100" s="121" t="s">
        <v>955</v>
      </c>
      <c r="J100" s="121"/>
      <c r="K100" s="121" t="s">
        <v>336</v>
      </c>
      <c r="L100" s="121"/>
      <c r="M100" s="121" t="s">
        <v>941</v>
      </c>
      <c r="N100" s="121"/>
      <c r="O100" s="112">
        <v>333.33</v>
      </c>
      <c r="P100" s="1"/>
    </row>
    <row r="101" spans="1:16" ht="12.75" x14ac:dyDescent="0.2">
      <c r="A101" s="121"/>
      <c r="B101" s="121"/>
      <c r="C101" s="121"/>
      <c r="D101" s="121"/>
      <c r="E101" s="121" t="s">
        <v>307</v>
      </c>
      <c r="F101" s="121"/>
      <c r="G101" s="122">
        <v>45523</v>
      </c>
      <c r="H101" s="121"/>
      <c r="I101" s="121" t="s">
        <v>1132</v>
      </c>
      <c r="J101" s="121"/>
      <c r="K101" s="121" t="s">
        <v>336</v>
      </c>
      <c r="L101" s="121"/>
      <c r="M101" s="121" t="s">
        <v>970</v>
      </c>
      <c r="N101" s="121"/>
      <c r="O101" s="112">
        <v>333.33</v>
      </c>
      <c r="P101" s="1"/>
    </row>
    <row r="102" spans="1:16" ht="12.75" x14ac:dyDescent="0.2">
      <c r="A102" s="121"/>
      <c r="B102" s="121"/>
      <c r="C102" s="121"/>
      <c r="D102" s="121"/>
      <c r="E102" s="121" t="s">
        <v>307</v>
      </c>
      <c r="F102" s="121"/>
      <c r="G102" s="122">
        <v>45351</v>
      </c>
      <c r="H102" s="121"/>
      <c r="I102" s="121" t="s">
        <v>531</v>
      </c>
      <c r="J102" s="121"/>
      <c r="K102" s="121" t="s">
        <v>338</v>
      </c>
      <c r="L102" s="121"/>
      <c r="M102" s="121" t="s">
        <v>464</v>
      </c>
      <c r="N102" s="121"/>
      <c r="O102" s="112">
        <v>4000</v>
      </c>
      <c r="P102" s="1"/>
    </row>
    <row r="103" spans="1:16" ht="12.75" x14ac:dyDescent="0.2">
      <c r="A103" s="121"/>
      <c r="B103" s="121"/>
      <c r="C103" s="121"/>
      <c r="D103" s="121"/>
      <c r="E103" s="121" t="s">
        <v>307</v>
      </c>
      <c r="F103" s="121"/>
      <c r="G103" s="122">
        <v>45365</v>
      </c>
      <c r="H103" s="121"/>
      <c r="I103" s="121" t="s">
        <v>532</v>
      </c>
      <c r="J103" s="121"/>
      <c r="K103" s="121" t="s">
        <v>338</v>
      </c>
      <c r="L103" s="121"/>
      <c r="M103" s="121" t="s">
        <v>420</v>
      </c>
      <c r="N103" s="121"/>
      <c r="O103" s="112">
        <v>4200</v>
      </c>
      <c r="P103" s="1"/>
    </row>
    <row r="104" spans="1:16" ht="12.75" x14ac:dyDescent="0.2">
      <c r="A104" s="121"/>
      <c r="B104" s="121"/>
      <c r="C104" s="121"/>
      <c r="D104" s="121"/>
      <c r="E104" s="121" t="s">
        <v>307</v>
      </c>
      <c r="F104" s="121"/>
      <c r="G104" s="122">
        <v>45330</v>
      </c>
      <c r="H104" s="121"/>
      <c r="I104" s="121" t="s">
        <v>533</v>
      </c>
      <c r="J104" s="121"/>
      <c r="K104" s="121" t="s">
        <v>338</v>
      </c>
      <c r="L104" s="121"/>
      <c r="M104" s="121" t="s">
        <v>462</v>
      </c>
      <c r="N104" s="121"/>
      <c r="O104" s="112">
        <v>4000</v>
      </c>
      <c r="P104" s="1"/>
    </row>
    <row r="105" spans="1:16" ht="12.75" x14ac:dyDescent="0.2">
      <c r="A105" s="121"/>
      <c r="B105" s="121"/>
      <c r="C105" s="121"/>
      <c r="D105" s="121"/>
      <c r="E105" s="121" t="s">
        <v>307</v>
      </c>
      <c r="F105" s="121"/>
      <c r="G105" s="122">
        <v>45427</v>
      </c>
      <c r="H105" s="121"/>
      <c r="I105" s="121" t="s">
        <v>534</v>
      </c>
      <c r="J105" s="121"/>
      <c r="K105" s="121" t="s">
        <v>338</v>
      </c>
      <c r="L105" s="121"/>
      <c r="M105" s="121" t="s">
        <v>322</v>
      </c>
      <c r="N105" s="121"/>
      <c r="O105" s="112">
        <v>4000</v>
      </c>
      <c r="P105" s="1"/>
    </row>
    <row r="106" spans="1:16" ht="12.75" x14ac:dyDescent="0.2">
      <c r="A106" s="121"/>
      <c r="B106" s="121"/>
      <c r="C106" s="121"/>
      <c r="D106" s="121"/>
      <c r="E106" s="121" t="s">
        <v>307</v>
      </c>
      <c r="F106" s="121"/>
      <c r="G106" s="122">
        <v>45443</v>
      </c>
      <c r="H106" s="121"/>
      <c r="I106" s="121" t="s">
        <v>535</v>
      </c>
      <c r="J106" s="121"/>
      <c r="K106" s="121" t="s">
        <v>338</v>
      </c>
      <c r="L106" s="121"/>
      <c r="M106" s="121" t="s">
        <v>311</v>
      </c>
      <c r="N106" s="121"/>
      <c r="O106" s="112">
        <v>4200</v>
      </c>
      <c r="P106" s="1"/>
    </row>
    <row r="107" spans="1:16" ht="12.75" x14ac:dyDescent="0.2">
      <c r="A107" s="121"/>
      <c r="B107" s="121"/>
      <c r="C107" s="121"/>
      <c r="D107" s="121"/>
      <c r="E107" s="121" t="s">
        <v>307</v>
      </c>
      <c r="F107" s="121"/>
      <c r="G107" s="122">
        <v>45470</v>
      </c>
      <c r="H107" s="121"/>
      <c r="I107" s="121" t="s">
        <v>337</v>
      </c>
      <c r="J107" s="121"/>
      <c r="K107" s="121" t="s">
        <v>338</v>
      </c>
      <c r="L107" s="121"/>
      <c r="M107" s="121" t="s">
        <v>314</v>
      </c>
      <c r="N107" s="121"/>
      <c r="O107" s="112">
        <v>4400</v>
      </c>
      <c r="P107" s="1"/>
    </row>
    <row r="108" spans="1:16" ht="12.75" x14ac:dyDescent="0.2">
      <c r="A108" s="121"/>
      <c r="B108" s="121"/>
      <c r="C108" s="121"/>
      <c r="D108" s="121"/>
      <c r="E108" s="121" t="s">
        <v>307</v>
      </c>
      <c r="F108" s="121"/>
      <c r="G108" s="122">
        <v>45517</v>
      </c>
      <c r="H108" s="121"/>
      <c r="I108" s="121" t="s">
        <v>1133</v>
      </c>
      <c r="J108" s="121"/>
      <c r="K108" s="121" t="s">
        <v>338</v>
      </c>
      <c r="L108" s="121"/>
      <c r="M108" s="121" t="s">
        <v>941</v>
      </c>
      <c r="N108" s="121"/>
      <c r="O108" s="112">
        <v>4200</v>
      </c>
      <c r="P108" s="1"/>
    </row>
    <row r="109" spans="1:16" ht="12.75" x14ac:dyDescent="0.2">
      <c r="A109" s="121"/>
      <c r="B109" s="121"/>
      <c r="C109" s="121"/>
      <c r="D109" s="121"/>
      <c r="E109" s="121" t="s">
        <v>307</v>
      </c>
      <c r="F109" s="121"/>
      <c r="G109" s="122">
        <v>45358</v>
      </c>
      <c r="H109" s="121"/>
      <c r="I109" s="121" t="s">
        <v>536</v>
      </c>
      <c r="J109" s="121"/>
      <c r="K109" s="121" t="s">
        <v>340</v>
      </c>
      <c r="L109" s="121"/>
      <c r="M109" s="121" t="s">
        <v>462</v>
      </c>
      <c r="N109" s="121"/>
      <c r="O109" s="112">
        <v>2166.66</v>
      </c>
      <c r="P109" s="1"/>
    </row>
    <row r="110" spans="1:16" ht="12.75" x14ac:dyDescent="0.2">
      <c r="A110" s="121"/>
      <c r="B110" s="121"/>
      <c r="C110" s="121"/>
      <c r="D110" s="121"/>
      <c r="E110" s="121" t="s">
        <v>307</v>
      </c>
      <c r="F110" s="121"/>
      <c r="G110" s="122">
        <v>45358</v>
      </c>
      <c r="H110" s="121"/>
      <c r="I110" s="121" t="s">
        <v>537</v>
      </c>
      <c r="J110" s="121"/>
      <c r="K110" s="121" t="s">
        <v>340</v>
      </c>
      <c r="L110" s="121"/>
      <c r="M110" s="121" t="s">
        <v>464</v>
      </c>
      <c r="N110" s="121"/>
      <c r="O110" s="112">
        <v>2166.66</v>
      </c>
      <c r="P110" s="1"/>
    </row>
    <row r="111" spans="1:16" ht="12.75" x14ac:dyDescent="0.2">
      <c r="A111" s="121"/>
      <c r="B111" s="121"/>
      <c r="C111" s="121"/>
      <c r="D111" s="121"/>
      <c r="E111" s="121" t="s">
        <v>307</v>
      </c>
      <c r="F111" s="121"/>
      <c r="G111" s="122">
        <v>45387</v>
      </c>
      <c r="H111" s="121"/>
      <c r="I111" s="121" t="s">
        <v>538</v>
      </c>
      <c r="J111" s="121"/>
      <c r="K111" s="121" t="s">
        <v>340</v>
      </c>
      <c r="L111" s="121"/>
      <c r="M111" s="121" t="s">
        <v>420</v>
      </c>
      <c r="N111" s="121"/>
      <c r="O111" s="112">
        <v>2166.66</v>
      </c>
      <c r="P111" s="1"/>
    </row>
    <row r="112" spans="1:16" ht="12.75" x14ac:dyDescent="0.2">
      <c r="A112" s="121"/>
      <c r="B112" s="121"/>
      <c r="C112" s="121"/>
      <c r="D112" s="121"/>
      <c r="E112" s="121" t="s">
        <v>307</v>
      </c>
      <c r="F112" s="121"/>
      <c r="G112" s="122">
        <v>45404</v>
      </c>
      <c r="H112" s="121"/>
      <c r="I112" s="121" t="s">
        <v>539</v>
      </c>
      <c r="J112" s="121"/>
      <c r="K112" s="121" t="s">
        <v>340</v>
      </c>
      <c r="L112" s="121"/>
      <c r="M112" s="121" t="s">
        <v>322</v>
      </c>
      <c r="N112" s="121"/>
      <c r="O112" s="112">
        <v>2166.66</v>
      </c>
      <c r="P112" s="1"/>
    </row>
    <row r="113" spans="1:16" ht="12.75" x14ac:dyDescent="0.2">
      <c r="A113" s="121"/>
      <c r="B113" s="121"/>
      <c r="C113" s="121"/>
      <c r="D113" s="121"/>
      <c r="E113" s="121" t="s">
        <v>307</v>
      </c>
      <c r="F113" s="121"/>
      <c r="G113" s="122">
        <v>45411</v>
      </c>
      <c r="H113" s="121"/>
      <c r="I113" s="121" t="s">
        <v>540</v>
      </c>
      <c r="J113" s="121"/>
      <c r="K113" s="121" t="s">
        <v>340</v>
      </c>
      <c r="L113" s="121"/>
      <c r="M113" s="121" t="s">
        <v>311</v>
      </c>
      <c r="N113" s="121"/>
      <c r="O113" s="112">
        <v>2166.66</v>
      </c>
      <c r="P113" s="1"/>
    </row>
    <row r="114" spans="1:16" ht="12.75" x14ac:dyDescent="0.2">
      <c r="A114" s="121"/>
      <c r="B114" s="121"/>
      <c r="C114" s="121"/>
      <c r="D114" s="121"/>
      <c r="E114" s="121" t="s">
        <v>307</v>
      </c>
      <c r="F114" s="121"/>
      <c r="G114" s="122">
        <v>45455</v>
      </c>
      <c r="H114" s="121"/>
      <c r="I114" s="121" t="s">
        <v>339</v>
      </c>
      <c r="J114" s="121"/>
      <c r="K114" s="121" t="s">
        <v>340</v>
      </c>
      <c r="L114" s="121"/>
      <c r="M114" s="121" t="s">
        <v>314</v>
      </c>
      <c r="N114" s="121"/>
      <c r="O114" s="112">
        <v>2166.66</v>
      </c>
      <c r="P114" s="1"/>
    </row>
    <row r="115" spans="1:16" ht="12.75" x14ac:dyDescent="0.2">
      <c r="A115" s="121"/>
      <c r="B115" s="121"/>
      <c r="C115" s="121"/>
      <c r="D115" s="121"/>
      <c r="E115" s="121" t="s">
        <v>307</v>
      </c>
      <c r="F115" s="121"/>
      <c r="G115" s="122">
        <v>45484</v>
      </c>
      <c r="H115" s="121"/>
      <c r="I115" s="121" t="s">
        <v>956</v>
      </c>
      <c r="J115" s="121"/>
      <c r="K115" s="121" t="s">
        <v>340</v>
      </c>
      <c r="L115" s="121"/>
      <c r="M115" s="121" t="s">
        <v>941</v>
      </c>
      <c r="N115" s="121"/>
      <c r="O115" s="112">
        <v>2166.66</v>
      </c>
      <c r="P115" s="1"/>
    </row>
    <row r="116" spans="1:16" ht="12.75" x14ac:dyDescent="0.2">
      <c r="A116" s="121"/>
      <c r="B116" s="121"/>
      <c r="C116" s="121"/>
      <c r="D116" s="121"/>
      <c r="E116" s="121" t="s">
        <v>307</v>
      </c>
      <c r="F116" s="121"/>
      <c r="G116" s="122">
        <v>45502</v>
      </c>
      <c r="H116" s="121"/>
      <c r="I116" s="121" t="s">
        <v>957</v>
      </c>
      <c r="J116" s="121"/>
      <c r="K116" s="121" t="s">
        <v>340</v>
      </c>
      <c r="L116" s="121"/>
      <c r="M116" s="121" t="s">
        <v>970</v>
      </c>
      <c r="N116" s="121"/>
      <c r="O116" s="112">
        <v>2166.66</v>
      </c>
      <c r="P116" s="1"/>
    </row>
    <row r="117" spans="1:16" ht="12.75" x14ac:dyDescent="0.2">
      <c r="A117" s="121"/>
      <c r="B117" s="121"/>
      <c r="C117" s="121"/>
      <c r="D117" s="121"/>
      <c r="E117" s="121" t="s">
        <v>307</v>
      </c>
      <c r="F117" s="121"/>
      <c r="G117" s="122">
        <v>45324</v>
      </c>
      <c r="H117" s="121"/>
      <c r="I117" s="121" t="s">
        <v>541</v>
      </c>
      <c r="J117" s="121"/>
      <c r="K117" s="121" t="s">
        <v>342</v>
      </c>
      <c r="L117" s="121"/>
      <c r="M117" s="121" t="s">
        <v>462</v>
      </c>
      <c r="N117" s="121"/>
      <c r="O117" s="112">
        <v>5333</v>
      </c>
      <c r="P117" s="1"/>
    </row>
    <row r="118" spans="1:16" ht="12.75" x14ac:dyDescent="0.2">
      <c r="A118" s="121"/>
      <c r="B118" s="121"/>
      <c r="C118" s="121"/>
      <c r="D118" s="121"/>
      <c r="E118" s="121" t="s">
        <v>307</v>
      </c>
      <c r="F118" s="121"/>
      <c r="G118" s="122">
        <v>45352</v>
      </c>
      <c r="H118" s="121"/>
      <c r="I118" s="121" t="s">
        <v>542</v>
      </c>
      <c r="J118" s="121"/>
      <c r="K118" s="121" t="s">
        <v>342</v>
      </c>
      <c r="L118" s="121"/>
      <c r="M118" s="121" t="s">
        <v>464</v>
      </c>
      <c r="N118" s="121"/>
      <c r="O118" s="112">
        <v>5333</v>
      </c>
      <c r="P118" s="1"/>
    </row>
    <row r="119" spans="1:16" ht="12.75" x14ac:dyDescent="0.2">
      <c r="A119" s="121"/>
      <c r="B119" s="121"/>
      <c r="C119" s="121"/>
      <c r="D119" s="121"/>
      <c r="E119" s="121" t="s">
        <v>307</v>
      </c>
      <c r="F119" s="121"/>
      <c r="G119" s="122">
        <v>45380</v>
      </c>
      <c r="H119" s="121"/>
      <c r="I119" s="121" t="s">
        <v>543</v>
      </c>
      <c r="J119" s="121"/>
      <c r="K119" s="121" t="s">
        <v>342</v>
      </c>
      <c r="L119" s="121"/>
      <c r="M119" s="121" t="s">
        <v>420</v>
      </c>
      <c r="N119" s="121"/>
      <c r="O119" s="112">
        <v>5333</v>
      </c>
      <c r="P119" s="1"/>
    </row>
    <row r="120" spans="1:16" ht="12.75" x14ac:dyDescent="0.2">
      <c r="A120" s="121"/>
      <c r="B120" s="121"/>
      <c r="C120" s="121"/>
      <c r="D120" s="121"/>
      <c r="E120" s="121" t="s">
        <v>307</v>
      </c>
      <c r="F120" s="121"/>
      <c r="G120" s="122">
        <v>45418</v>
      </c>
      <c r="H120" s="121"/>
      <c r="I120" s="121" t="s">
        <v>544</v>
      </c>
      <c r="J120" s="121"/>
      <c r="K120" s="121" t="s">
        <v>342</v>
      </c>
      <c r="L120" s="121"/>
      <c r="M120" s="121" t="s">
        <v>322</v>
      </c>
      <c r="N120" s="121"/>
      <c r="O120" s="112">
        <v>5333</v>
      </c>
      <c r="P120" s="1"/>
    </row>
    <row r="121" spans="1:16" ht="12.75" x14ac:dyDescent="0.2">
      <c r="A121" s="121"/>
      <c r="B121" s="121"/>
      <c r="C121" s="121"/>
      <c r="D121" s="121"/>
      <c r="E121" s="121" t="s">
        <v>307</v>
      </c>
      <c r="F121" s="121"/>
      <c r="G121" s="122">
        <v>45447</v>
      </c>
      <c r="H121" s="121"/>
      <c r="I121" s="121" t="s">
        <v>341</v>
      </c>
      <c r="J121" s="121"/>
      <c r="K121" s="121" t="s">
        <v>342</v>
      </c>
      <c r="L121" s="121"/>
      <c r="M121" s="121" t="s">
        <v>311</v>
      </c>
      <c r="N121" s="121"/>
      <c r="O121" s="112">
        <v>5333</v>
      </c>
      <c r="P121" s="1"/>
    </row>
    <row r="122" spans="1:16" ht="12.75" x14ac:dyDescent="0.2">
      <c r="A122" s="121"/>
      <c r="B122" s="121"/>
      <c r="C122" s="121"/>
      <c r="D122" s="121"/>
      <c r="E122" s="121" t="s">
        <v>307</v>
      </c>
      <c r="F122" s="121"/>
      <c r="G122" s="122">
        <v>45476</v>
      </c>
      <c r="H122" s="121"/>
      <c r="I122" s="121" t="s">
        <v>958</v>
      </c>
      <c r="J122" s="121"/>
      <c r="K122" s="121" t="s">
        <v>342</v>
      </c>
      <c r="L122" s="121"/>
      <c r="M122" s="121" t="s">
        <v>314</v>
      </c>
      <c r="N122" s="121"/>
      <c r="O122" s="112">
        <v>5333</v>
      </c>
      <c r="P122" s="1"/>
    </row>
    <row r="123" spans="1:16" ht="12.75" x14ac:dyDescent="0.2">
      <c r="A123" s="121"/>
      <c r="B123" s="121"/>
      <c r="C123" s="121"/>
      <c r="D123" s="121"/>
      <c r="E123" s="121" t="s">
        <v>307</v>
      </c>
      <c r="F123" s="121"/>
      <c r="G123" s="122">
        <v>45512</v>
      </c>
      <c r="H123" s="121"/>
      <c r="I123" s="121" t="s">
        <v>1134</v>
      </c>
      <c r="J123" s="121"/>
      <c r="K123" s="121" t="s">
        <v>342</v>
      </c>
      <c r="L123" s="121"/>
      <c r="M123" s="121" t="s">
        <v>941</v>
      </c>
      <c r="N123" s="121"/>
      <c r="O123" s="112">
        <v>5333</v>
      </c>
      <c r="P123" s="1"/>
    </row>
    <row r="124" spans="1:16" ht="12.75" x14ac:dyDescent="0.2">
      <c r="A124" s="121"/>
      <c r="B124" s="121"/>
      <c r="C124" s="121"/>
      <c r="D124" s="121"/>
      <c r="E124" s="121" t="s">
        <v>307</v>
      </c>
      <c r="F124" s="121"/>
      <c r="G124" s="122">
        <v>45533</v>
      </c>
      <c r="H124" s="121"/>
      <c r="I124" s="121" t="s">
        <v>1135</v>
      </c>
      <c r="J124" s="121"/>
      <c r="K124" s="121" t="s">
        <v>342</v>
      </c>
      <c r="L124" s="121"/>
      <c r="M124" s="121" t="s">
        <v>970</v>
      </c>
      <c r="N124" s="121"/>
      <c r="O124" s="112">
        <v>5333</v>
      </c>
      <c r="P124" s="1"/>
    </row>
    <row r="125" spans="1:16" ht="12.75" x14ac:dyDescent="0.2">
      <c r="A125" s="121"/>
      <c r="B125" s="121"/>
      <c r="C125" s="121"/>
      <c r="D125" s="121"/>
      <c r="E125" s="121" t="s">
        <v>307</v>
      </c>
      <c r="F125" s="121"/>
      <c r="G125" s="122">
        <v>45309</v>
      </c>
      <c r="H125" s="121"/>
      <c r="I125" s="121" t="s">
        <v>545</v>
      </c>
      <c r="J125" s="121"/>
      <c r="K125" s="121" t="s">
        <v>344</v>
      </c>
      <c r="L125" s="121"/>
      <c r="M125" s="121" t="s">
        <v>462</v>
      </c>
      <c r="N125" s="121"/>
      <c r="O125" s="112">
        <v>416.67</v>
      </c>
      <c r="P125" s="1"/>
    </row>
    <row r="126" spans="1:16" ht="12.75" x14ac:dyDescent="0.2">
      <c r="A126" s="121"/>
      <c r="B126" s="121"/>
      <c r="C126" s="121"/>
      <c r="D126" s="121"/>
      <c r="E126" s="121" t="s">
        <v>307</v>
      </c>
      <c r="F126" s="121"/>
      <c r="G126" s="122">
        <v>45349</v>
      </c>
      <c r="H126" s="121"/>
      <c r="I126" s="121" t="s">
        <v>546</v>
      </c>
      <c r="J126" s="121"/>
      <c r="K126" s="121" t="s">
        <v>344</v>
      </c>
      <c r="L126" s="121"/>
      <c r="M126" s="121" t="s">
        <v>464</v>
      </c>
      <c r="N126" s="121"/>
      <c r="O126" s="112">
        <v>416.67</v>
      </c>
      <c r="P126" s="1"/>
    </row>
    <row r="127" spans="1:16" ht="12.75" x14ac:dyDescent="0.2">
      <c r="A127" s="121"/>
      <c r="B127" s="121"/>
      <c r="C127" s="121"/>
      <c r="D127" s="121"/>
      <c r="E127" s="121" t="s">
        <v>307</v>
      </c>
      <c r="F127" s="121"/>
      <c r="G127" s="122">
        <v>45371</v>
      </c>
      <c r="H127" s="121"/>
      <c r="I127" s="121" t="s">
        <v>547</v>
      </c>
      <c r="J127" s="121"/>
      <c r="K127" s="121" t="s">
        <v>344</v>
      </c>
      <c r="L127" s="121"/>
      <c r="M127" s="121" t="s">
        <v>420</v>
      </c>
      <c r="N127" s="121"/>
      <c r="O127" s="112">
        <v>416.67</v>
      </c>
      <c r="P127" s="1"/>
    </row>
    <row r="128" spans="1:16" ht="12.75" x14ac:dyDescent="0.2">
      <c r="A128" s="121"/>
      <c r="B128" s="121"/>
      <c r="C128" s="121"/>
      <c r="D128" s="121"/>
      <c r="E128" s="121" t="s">
        <v>307</v>
      </c>
      <c r="F128" s="121"/>
      <c r="G128" s="122">
        <v>45407</v>
      </c>
      <c r="H128" s="121"/>
      <c r="I128" s="121" t="s">
        <v>548</v>
      </c>
      <c r="J128" s="121"/>
      <c r="K128" s="121" t="s">
        <v>344</v>
      </c>
      <c r="L128" s="121"/>
      <c r="M128" s="121" t="s">
        <v>322</v>
      </c>
      <c r="N128" s="121"/>
      <c r="O128" s="112">
        <v>416.67</v>
      </c>
      <c r="P128" s="1"/>
    </row>
    <row r="129" spans="1:16" ht="12.75" x14ac:dyDescent="0.2">
      <c r="A129" s="121"/>
      <c r="B129" s="121"/>
      <c r="C129" s="121"/>
      <c r="D129" s="121"/>
      <c r="E129" s="121" t="s">
        <v>307</v>
      </c>
      <c r="F129" s="121"/>
      <c r="G129" s="122">
        <v>45425</v>
      </c>
      <c r="H129" s="121"/>
      <c r="I129" s="121" t="s">
        <v>549</v>
      </c>
      <c r="J129" s="121"/>
      <c r="K129" s="121" t="s">
        <v>344</v>
      </c>
      <c r="L129" s="121"/>
      <c r="M129" s="121" t="s">
        <v>311</v>
      </c>
      <c r="N129" s="121"/>
      <c r="O129" s="112">
        <v>416.67</v>
      </c>
      <c r="P129" s="1"/>
    </row>
    <row r="130" spans="1:16" ht="12.75" x14ac:dyDescent="0.2">
      <c r="A130" s="121"/>
      <c r="B130" s="121"/>
      <c r="C130" s="121"/>
      <c r="D130" s="121"/>
      <c r="E130" s="121" t="s">
        <v>307</v>
      </c>
      <c r="F130" s="121"/>
      <c r="G130" s="122">
        <v>45461</v>
      </c>
      <c r="H130" s="121"/>
      <c r="I130" s="121" t="s">
        <v>343</v>
      </c>
      <c r="J130" s="121"/>
      <c r="K130" s="121" t="s">
        <v>344</v>
      </c>
      <c r="L130" s="121"/>
      <c r="M130" s="121" t="s">
        <v>314</v>
      </c>
      <c r="N130" s="121"/>
      <c r="O130" s="112">
        <v>416.67</v>
      </c>
      <c r="P130" s="1"/>
    </row>
    <row r="131" spans="1:16" ht="12.75" x14ac:dyDescent="0.2">
      <c r="A131" s="121"/>
      <c r="B131" s="121"/>
      <c r="C131" s="121"/>
      <c r="D131" s="121"/>
      <c r="E131" s="121" t="s">
        <v>307</v>
      </c>
      <c r="F131" s="121"/>
      <c r="G131" s="122">
        <v>45490</v>
      </c>
      <c r="H131" s="121"/>
      <c r="I131" s="121" t="s">
        <v>959</v>
      </c>
      <c r="J131" s="121"/>
      <c r="K131" s="121" t="s">
        <v>344</v>
      </c>
      <c r="L131" s="121"/>
      <c r="M131" s="121" t="s">
        <v>941</v>
      </c>
      <c r="N131" s="121"/>
      <c r="O131" s="112">
        <v>416.67</v>
      </c>
      <c r="P131" s="1"/>
    </row>
    <row r="132" spans="1:16" ht="12.75" x14ac:dyDescent="0.2">
      <c r="A132" s="121"/>
      <c r="B132" s="121"/>
      <c r="C132" s="121"/>
      <c r="D132" s="121"/>
      <c r="E132" s="121" t="s">
        <v>307</v>
      </c>
      <c r="F132" s="121"/>
      <c r="G132" s="122">
        <v>45519</v>
      </c>
      <c r="H132" s="121"/>
      <c r="I132" s="121" t="s">
        <v>1136</v>
      </c>
      <c r="J132" s="121"/>
      <c r="K132" s="121" t="s">
        <v>344</v>
      </c>
      <c r="L132" s="121"/>
      <c r="M132" s="121" t="s">
        <v>970</v>
      </c>
      <c r="N132" s="121"/>
      <c r="O132" s="112">
        <v>416.67</v>
      </c>
      <c r="P132" s="1"/>
    </row>
    <row r="133" spans="1:16" ht="12.75" x14ac:dyDescent="0.2">
      <c r="A133" s="121"/>
      <c r="B133" s="121"/>
      <c r="C133" s="121"/>
      <c r="D133" s="121"/>
      <c r="E133" s="121" t="s">
        <v>307</v>
      </c>
      <c r="F133" s="121"/>
      <c r="G133" s="122">
        <v>45303</v>
      </c>
      <c r="H133" s="121"/>
      <c r="I133" s="121" t="s">
        <v>550</v>
      </c>
      <c r="J133" s="121"/>
      <c r="K133" s="121" t="s">
        <v>108</v>
      </c>
      <c r="L133" s="121"/>
      <c r="M133" s="121" t="s">
        <v>462</v>
      </c>
      <c r="N133" s="121"/>
      <c r="O133" s="112">
        <v>1253</v>
      </c>
      <c r="P133" s="1"/>
    </row>
    <row r="134" spans="1:16" ht="12.75" x14ac:dyDescent="0.2">
      <c r="A134" s="121"/>
      <c r="B134" s="121"/>
      <c r="C134" s="121"/>
      <c r="D134" s="121"/>
      <c r="E134" s="121" t="s">
        <v>307</v>
      </c>
      <c r="F134" s="121"/>
      <c r="G134" s="122">
        <v>45337</v>
      </c>
      <c r="H134" s="121"/>
      <c r="I134" s="121" t="s">
        <v>551</v>
      </c>
      <c r="J134" s="121"/>
      <c r="K134" s="121" t="s">
        <v>108</v>
      </c>
      <c r="L134" s="121"/>
      <c r="M134" s="121" t="s">
        <v>464</v>
      </c>
      <c r="N134" s="121"/>
      <c r="O134" s="112">
        <v>1947</v>
      </c>
      <c r="P134" s="1"/>
    </row>
    <row r="135" spans="1:16" ht="12.75" x14ac:dyDescent="0.2">
      <c r="A135" s="121"/>
      <c r="B135" s="121"/>
      <c r="C135" s="121"/>
      <c r="D135" s="121"/>
      <c r="E135" s="121" t="s">
        <v>307</v>
      </c>
      <c r="F135" s="121"/>
      <c r="G135" s="122">
        <v>45366</v>
      </c>
      <c r="H135" s="121"/>
      <c r="I135" s="121" t="s">
        <v>552</v>
      </c>
      <c r="J135" s="121"/>
      <c r="K135" s="121" t="s">
        <v>108</v>
      </c>
      <c r="L135" s="121"/>
      <c r="M135" s="121" t="s">
        <v>420</v>
      </c>
      <c r="N135" s="121"/>
      <c r="O135" s="112">
        <v>1600</v>
      </c>
      <c r="P135" s="1"/>
    </row>
    <row r="136" spans="1:16" ht="12.75" x14ac:dyDescent="0.2">
      <c r="A136" s="121"/>
      <c r="B136" s="121"/>
      <c r="C136" s="121"/>
      <c r="D136" s="121"/>
      <c r="E136" s="121" t="s">
        <v>307</v>
      </c>
      <c r="F136" s="121"/>
      <c r="G136" s="122">
        <v>45397</v>
      </c>
      <c r="H136" s="121"/>
      <c r="I136" s="121" t="s">
        <v>553</v>
      </c>
      <c r="J136" s="121"/>
      <c r="K136" s="121" t="s">
        <v>108</v>
      </c>
      <c r="L136" s="121"/>
      <c r="M136" s="121" t="s">
        <v>322</v>
      </c>
      <c r="N136" s="121"/>
      <c r="O136" s="112">
        <v>1600</v>
      </c>
      <c r="P136" s="1"/>
    </row>
    <row r="137" spans="1:16" ht="12.75" x14ac:dyDescent="0.2">
      <c r="A137" s="121"/>
      <c r="B137" s="121"/>
      <c r="C137" s="121"/>
      <c r="D137" s="121"/>
      <c r="E137" s="121" t="s">
        <v>307</v>
      </c>
      <c r="F137" s="121"/>
      <c r="G137" s="122">
        <v>45427</v>
      </c>
      <c r="H137" s="121"/>
      <c r="I137" s="121" t="s">
        <v>554</v>
      </c>
      <c r="J137" s="121"/>
      <c r="K137" s="121" t="s">
        <v>108</v>
      </c>
      <c r="L137" s="121"/>
      <c r="M137" s="121" t="s">
        <v>311</v>
      </c>
      <c r="N137" s="121"/>
      <c r="O137" s="112">
        <v>1600</v>
      </c>
      <c r="P137" s="1"/>
    </row>
    <row r="138" spans="1:16" ht="12.75" x14ac:dyDescent="0.2">
      <c r="A138" s="121"/>
      <c r="B138" s="121"/>
      <c r="C138" s="121"/>
      <c r="D138" s="121"/>
      <c r="E138" s="121" t="s">
        <v>307</v>
      </c>
      <c r="F138" s="121"/>
      <c r="G138" s="122">
        <v>45458</v>
      </c>
      <c r="H138" s="121"/>
      <c r="I138" s="121" t="s">
        <v>345</v>
      </c>
      <c r="J138" s="121"/>
      <c r="K138" s="121" t="s">
        <v>108</v>
      </c>
      <c r="L138" s="121"/>
      <c r="M138" s="121" t="s">
        <v>314</v>
      </c>
      <c r="N138" s="121"/>
      <c r="O138" s="112">
        <v>1600</v>
      </c>
      <c r="P138" s="1"/>
    </row>
    <row r="139" spans="1:16" ht="12.75" x14ac:dyDescent="0.2">
      <c r="A139" s="121"/>
      <c r="B139" s="121"/>
      <c r="C139" s="121"/>
      <c r="D139" s="121"/>
      <c r="E139" s="121" t="s">
        <v>307</v>
      </c>
      <c r="F139" s="121"/>
      <c r="G139" s="122">
        <v>45488</v>
      </c>
      <c r="H139" s="121"/>
      <c r="I139" s="121" t="s">
        <v>960</v>
      </c>
      <c r="J139" s="121"/>
      <c r="K139" s="121" t="s">
        <v>108</v>
      </c>
      <c r="L139" s="121"/>
      <c r="M139" s="121" t="s">
        <v>941</v>
      </c>
      <c r="N139" s="121"/>
      <c r="O139" s="112">
        <v>1600</v>
      </c>
      <c r="P139" s="1"/>
    </row>
    <row r="140" spans="1:16" ht="12.75" x14ac:dyDescent="0.2">
      <c r="A140" s="121"/>
      <c r="B140" s="121"/>
      <c r="C140" s="121"/>
      <c r="D140" s="121"/>
      <c r="E140" s="121" t="s">
        <v>307</v>
      </c>
      <c r="F140" s="121"/>
      <c r="G140" s="122">
        <v>45519</v>
      </c>
      <c r="H140" s="121"/>
      <c r="I140" s="121" t="s">
        <v>1137</v>
      </c>
      <c r="J140" s="121"/>
      <c r="K140" s="121" t="s">
        <v>108</v>
      </c>
      <c r="L140" s="121"/>
      <c r="M140" s="121" t="s">
        <v>970</v>
      </c>
      <c r="N140" s="121"/>
      <c r="O140" s="112">
        <v>1600</v>
      </c>
      <c r="P140" s="1"/>
    </row>
    <row r="141" spans="1:16" ht="12.75" x14ac:dyDescent="0.2">
      <c r="A141" s="121"/>
      <c r="B141" s="121"/>
      <c r="C141" s="121"/>
      <c r="D141" s="121"/>
      <c r="E141" s="121" t="s">
        <v>307</v>
      </c>
      <c r="F141" s="121"/>
      <c r="G141" s="122">
        <v>45296</v>
      </c>
      <c r="H141" s="121"/>
      <c r="I141" s="121" t="s">
        <v>555</v>
      </c>
      <c r="J141" s="121"/>
      <c r="K141" s="121" t="s">
        <v>347</v>
      </c>
      <c r="L141" s="121"/>
      <c r="M141" s="121" t="s">
        <v>462</v>
      </c>
      <c r="N141" s="121"/>
      <c r="O141" s="112">
        <v>583.33000000000004</v>
      </c>
      <c r="P141" s="1"/>
    </row>
    <row r="142" spans="1:16" ht="12.75" x14ac:dyDescent="0.2">
      <c r="A142" s="121"/>
      <c r="B142" s="121"/>
      <c r="C142" s="121"/>
      <c r="D142" s="121"/>
      <c r="E142" s="121" t="s">
        <v>307</v>
      </c>
      <c r="F142" s="121"/>
      <c r="G142" s="122">
        <v>45327</v>
      </c>
      <c r="H142" s="121"/>
      <c r="I142" s="121" t="s">
        <v>556</v>
      </c>
      <c r="J142" s="121"/>
      <c r="K142" s="121" t="s">
        <v>347</v>
      </c>
      <c r="L142" s="121"/>
      <c r="M142" s="121" t="s">
        <v>464</v>
      </c>
      <c r="N142" s="121"/>
      <c r="O142" s="112">
        <v>583.33000000000004</v>
      </c>
      <c r="P142" s="1"/>
    </row>
    <row r="143" spans="1:16" ht="12.75" x14ac:dyDescent="0.2">
      <c r="A143" s="121"/>
      <c r="B143" s="121"/>
      <c r="C143" s="121"/>
      <c r="D143" s="121"/>
      <c r="E143" s="121" t="s">
        <v>307</v>
      </c>
      <c r="F143" s="121"/>
      <c r="G143" s="122">
        <v>45357</v>
      </c>
      <c r="H143" s="121"/>
      <c r="I143" s="121" t="s">
        <v>557</v>
      </c>
      <c r="J143" s="121"/>
      <c r="K143" s="121" t="s">
        <v>347</v>
      </c>
      <c r="L143" s="121"/>
      <c r="M143" s="121" t="s">
        <v>420</v>
      </c>
      <c r="N143" s="121"/>
      <c r="O143" s="112">
        <v>583.33000000000004</v>
      </c>
      <c r="P143" s="1"/>
    </row>
    <row r="144" spans="1:16" ht="12.75" x14ac:dyDescent="0.2">
      <c r="A144" s="121"/>
      <c r="B144" s="121"/>
      <c r="C144" s="121"/>
      <c r="D144" s="121"/>
      <c r="E144" s="121" t="s">
        <v>307</v>
      </c>
      <c r="F144" s="121"/>
      <c r="G144" s="122">
        <v>45391</v>
      </c>
      <c r="H144" s="121"/>
      <c r="I144" s="121" t="s">
        <v>558</v>
      </c>
      <c r="J144" s="121"/>
      <c r="K144" s="121" t="s">
        <v>347</v>
      </c>
      <c r="L144" s="121"/>
      <c r="M144" s="121" t="s">
        <v>322</v>
      </c>
      <c r="N144" s="121"/>
      <c r="O144" s="112">
        <v>583.33000000000004</v>
      </c>
      <c r="P144" s="1"/>
    </row>
    <row r="145" spans="1:16" ht="12.75" x14ac:dyDescent="0.2">
      <c r="A145" s="121"/>
      <c r="B145" s="121"/>
      <c r="C145" s="121"/>
      <c r="D145" s="121"/>
      <c r="E145" s="121" t="s">
        <v>307</v>
      </c>
      <c r="F145" s="121"/>
      <c r="G145" s="122">
        <v>45420</v>
      </c>
      <c r="H145" s="121"/>
      <c r="I145" s="121" t="s">
        <v>559</v>
      </c>
      <c r="J145" s="121"/>
      <c r="K145" s="121" t="s">
        <v>347</v>
      </c>
      <c r="L145" s="121"/>
      <c r="M145" s="121" t="s">
        <v>311</v>
      </c>
      <c r="N145" s="121"/>
      <c r="O145" s="112">
        <v>583.33000000000004</v>
      </c>
      <c r="P145" s="1"/>
    </row>
    <row r="146" spans="1:16" ht="12.75" x14ac:dyDescent="0.2">
      <c r="A146" s="121"/>
      <c r="B146" s="121"/>
      <c r="C146" s="121"/>
      <c r="D146" s="121"/>
      <c r="E146" s="121" t="s">
        <v>307</v>
      </c>
      <c r="F146" s="121"/>
      <c r="G146" s="122">
        <v>45447</v>
      </c>
      <c r="H146" s="121"/>
      <c r="I146" s="121" t="s">
        <v>346</v>
      </c>
      <c r="J146" s="121"/>
      <c r="K146" s="121" t="s">
        <v>347</v>
      </c>
      <c r="L146" s="121"/>
      <c r="M146" s="121" t="s">
        <v>314</v>
      </c>
      <c r="N146" s="121"/>
      <c r="O146" s="112">
        <v>583.33000000000004</v>
      </c>
      <c r="P146" s="1"/>
    </row>
    <row r="147" spans="1:16" ht="12.75" x14ac:dyDescent="0.2">
      <c r="A147" s="121"/>
      <c r="B147" s="121"/>
      <c r="C147" s="121"/>
      <c r="D147" s="121"/>
      <c r="E147" s="121" t="s">
        <v>307</v>
      </c>
      <c r="F147" s="121"/>
      <c r="G147" s="122">
        <v>45474</v>
      </c>
      <c r="H147" s="121"/>
      <c r="I147" s="121" t="s">
        <v>961</v>
      </c>
      <c r="J147" s="121"/>
      <c r="K147" s="121" t="s">
        <v>347</v>
      </c>
      <c r="L147" s="121"/>
      <c r="M147" s="121" t="s">
        <v>941</v>
      </c>
      <c r="N147" s="121"/>
      <c r="O147" s="112">
        <v>583.33000000000004</v>
      </c>
      <c r="P147" s="1"/>
    </row>
    <row r="148" spans="1:16" ht="12.75" x14ac:dyDescent="0.2">
      <c r="A148" s="121"/>
      <c r="B148" s="121"/>
      <c r="C148" s="121"/>
      <c r="D148" s="121"/>
      <c r="E148" s="121" t="s">
        <v>307</v>
      </c>
      <c r="F148" s="121"/>
      <c r="G148" s="122">
        <v>45510</v>
      </c>
      <c r="H148" s="121"/>
      <c r="I148" s="121" t="s">
        <v>1138</v>
      </c>
      <c r="J148" s="121"/>
      <c r="K148" s="121" t="s">
        <v>347</v>
      </c>
      <c r="L148" s="121"/>
      <c r="M148" s="121" t="s">
        <v>970</v>
      </c>
      <c r="N148" s="121"/>
      <c r="O148" s="112">
        <v>583.33000000000004</v>
      </c>
      <c r="P148" s="1"/>
    </row>
    <row r="149" spans="1:16" ht="12.75" x14ac:dyDescent="0.2">
      <c r="A149" s="121"/>
      <c r="B149" s="121"/>
      <c r="C149" s="121"/>
      <c r="D149" s="121"/>
      <c r="E149" s="121" t="s">
        <v>307</v>
      </c>
      <c r="F149" s="121"/>
      <c r="G149" s="122">
        <v>45303</v>
      </c>
      <c r="H149" s="121"/>
      <c r="I149" s="121" t="s">
        <v>560</v>
      </c>
      <c r="J149" s="121"/>
      <c r="K149" s="121" t="s">
        <v>349</v>
      </c>
      <c r="L149" s="121"/>
      <c r="M149" s="121" t="s">
        <v>462</v>
      </c>
      <c r="N149" s="121"/>
      <c r="O149" s="112">
        <v>2500</v>
      </c>
      <c r="P149" s="1"/>
    </row>
    <row r="150" spans="1:16" ht="12.75" x14ac:dyDescent="0.2">
      <c r="A150" s="121"/>
      <c r="B150" s="121"/>
      <c r="C150" s="121"/>
      <c r="D150" s="121"/>
      <c r="E150" s="121" t="s">
        <v>307</v>
      </c>
      <c r="F150" s="121"/>
      <c r="G150" s="122">
        <v>45337</v>
      </c>
      <c r="H150" s="121"/>
      <c r="I150" s="121" t="s">
        <v>561</v>
      </c>
      <c r="J150" s="121"/>
      <c r="K150" s="121" t="s">
        <v>349</v>
      </c>
      <c r="L150" s="121"/>
      <c r="M150" s="121" t="s">
        <v>464</v>
      </c>
      <c r="N150" s="121"/>
      <c r="O150" s="112">
        <v>3062.5</v>
      </c>
      <c r="P150" s="1"/>
    </row>
    <row r="151" spans="1:16" ht="12.75" x14ac:dyDescent="0.2">
      <c r="A151" s="121"/>
      <c r="B151" s="121"/>
      <c r="C151" s="121"/>
      <c r="D151" s="121"/>
      <c r="E151" s="121" t="s">
        <v>307</v>
      </c>
      <c r="F151" s="121"/>
      <c r="G151" s="122">
        <v>45366</v>
      </c>
      <c r="H151" s="121"/>
      <c r="I151" s="121" t="s">
        <v>562</v>
      </c>
      <c r="J151" s="121"/>
      <c r="K151" s="121" t="s">
        <v>349</v>
      </c>
      <c r="L151" s="121"/>
      <c r="M151" s="121" t="s">
        <v>420</v>
      </c>
      <c r="N151" s="121"/>
      <c r="O151" s="112">
        <v>2781.25</v>
      </c>
      <c r="P151" s="1"/>
    </row>
    <row r="152" spans="1:16" ht="12.75" x14ac:dyDescent="0.2">
      <c r="A152" s="121"/>
      <c r="B152" s="121"/>
      <c r="C152" s="121"/>
      <c r="D152" s="121"/>
      <c r="E152" s="121" t="s">
        <v>307</v>
      </c>
      <c r="F152" s="121"/>
      <c r="G152" s="122">
        <v>45397</v>
      </c>
      <c r="H152" s="121"/>
      <c r="I152" s="121" t="s">
        <v>563</v>
      </c>
      <c r="J152" s="121"/>
      <c r="K152" s="121" t="s">
        <v>349</v>
      </c>
      <c r="L152" s="121"/>
      <c r="M152" s="121" t="s">
        <v>322</v>
      </c>
      <c r="N152" s="121"/>
      <c r="O152" s="112">
        <v>2781.25</v>
      </c>
      <c r="P152" s="1"/>
    </row>
    <row r="153" spans="1:16" ht="12.75" x14ac:dyDescent="0.2">
      <c r="A153" s="121"/>
      <c r="B153" s="121"/>
      <c r="C153" s="121"/>
      <c r="D153" s="121"/>
      <c r="E153" s="121" t="s">
        <v>307</v>
      </c>
      <c r="F153" s="121"/>
      <c r="G153" s="122">
        <v>45427</v>
      </c>
      <c r="H153" s="121"/>
      <c r="I153" s="121" t="s">
        <v>564</v>
      </c>
      <c r="J153" s="121"/>
      <c r="K153" s="121" t="s">
        <v>349</v>
      </c>
      <c r="L153" s="121"/>
      <c r="M153" s="121" t="s">
        <v>311</v>
      </c>
      <c r="N153" s="121"/>
      <c r="O153" s="112">
        <v>2781.25</v>
      </c>
      <c r="P153" s="1"/>
    </row>
    <row r="154" spans="1:16" ht="12.75" x14ac:dyDescent="0.2">
      <c r="A154" s="121"/>
      <c r="B154" s="121"/>
      <c r="C154" s="121"/>
      <c r="D154" s="121"/>
      <c r="E154" s="121" t="s">
        <v>307</v>
      </c>
      <c r="F154" s="121"/>
      <c r="G154" s="122">
        <v>45458</v>
      </c>
      <c r="H154" s="121"/>
      <c r="I154" s="121" t="s">
        <v>348</v>
      </c>
      <c r="J154" s="121"/>
      <c r="K154" s="121" t="s">
        <v>349</v>
      </c>
      <c r="L154" s="121"/>
      <c r="M154" s="121" t="s">
        <v>314</v>
      </c>
      <c r="N154" s="121"/>
      <c r="O154" s="112">
        <v>2781.25</v>
      </c>
      <c r="P154" s="1"/>
    </row>
    <row r="155" spans="1:16" ht="12.75" x14ac:dyDescent="0.2">
      <c r="A155" s="121"/>
      <c r="B155" s="121"/>
      <c r="C155" s="121"/>
      <c r="D155" s="121"/>
      <c r="E155" s="121" t="s">
        <v>307</v>
      </c>
      <c r="F155" s="121"/>
      <c r="G155" s="122">
        <v>45488</v>
      </c>
      <c r="H155" s="121"/>
      <c r="I155" s="121" t="s">
        <v>962</v>
      </c>
      <c r="J155" s="121"/>
      <c r="K155" s="121" t="s">
        <v>349</v>
      </c>
      <c r="L155" s="121"/>
      <c r="M155" s="121" t="s">
        <v>941</v>
      </c>
      <c r="N155" s="121"/>
      <c r="O155" s="112">
        <v>2781.25</v>
      </c>
      <c r="P155" s="1"/>
    </row>
    <row r="156" spans="1:16" ht="12.75" x14ac:dyDescent="0.2">
      <c r="A156" s="121"/>
      <c r="B156" s="121"/>
      <c r="C156" s="121"/>
      <c r="D156" s="121"/>
      <c r="E156" s="121" t="s">
        <v>307</v>
      </c>
      <c r="F156" s="121"/>
      <c r="G156" s="122">
        <v>45519</v>
      </c>
      <c r="H156" s="121"/>
      <c r="I156" s="121" t="s">
        <v>1139</v>
      </c>
      <c r="J156" s="121"/>
      <c r="K156" s="121" t="s">
        <v>349</v>
      </c>
      <c r="L156" s="121"/>
      <c r="M156" s="121" t="s">
        <v>970</v>
      </c>
      <c r="N156" s="121"/>
      <c r="O156" s="112">
        <v>2781.25</v>
      </c>
      <c r="P156" s="1"/>
    </row>
    <row r="157" spans="1:16" ht="12.75" x14ac:dyDescent="0.2">
      <c r="A157" s="121"/>
      <c r="B157" s="121"/>
      <c r="C157" s="121"/>
      <c r="D157" s="121"/>
      <c r="E157" s="121" t="s">
        <v>307</v>
      </c>
      <c r="F157" s="121"/>
      <c r="G157" s="122">
        <v>45329</v>
      </c>
      <c r="H157" s="121"/>
      <c r="I157" s="121" t="s">
        <v>565</v>
      </c>
      <c r="J157" s="121"/>
      <c r="K157" s="121" t="s">
        <v>566</v>
      </c>
      <c r="L157" s="121"/>
      <c r="M157" s="121" t="s">
        <v>567</v>
      </c>
      <c r="N157" s="121"/>
      <c r="O157" s="112">
        <v>1166.67</v>
      </c>
      <c r="P157" s="1"/>
    </row>
    <row r="158" spans="1:16" ht="12.75" x14ac:dyDescent="0.2">
      <c r="A158" s="121"/>
      <c r="B158" s="121"/>
      <c r="C158" s="121"/>
      <c r="D158" s="121"/>
      <c r="E158" s="121" t="s">
        <v>307</v>
      </c>
      <c r="F158" s="121"/>
      <c r="G158" s="122">
        <v>45329</v>
      </c>
      <c r="H158" s="121"/>
      <c r="I158" s="121" t="s">
        <v>568</v>
      </c>
      <c r="J158" s="121"/>
      <c r="K158" s="121" t="s">
        <v>566</v>
      </c>
      <c r="L158" s="121"/>
      <c r="M158" s="121" t="s">
        <v>462</v>
      </c>
      <c r="N158" s="121"/>
      <c r="O158" s="112">
        <v>1308</v>
      </c>
      <c r="P158" s="1"/>
    </row>
    <row r="159" spans="1:16" ht="12.75" x14ac:dyDescent="0.2">
      <c r="A159" s="121"/>
      <c r="B159" s="121"/>
      <c r="C159" s="121"/>
      <c r="D159" s="121"/>
      <c r="E159" s="121" t="s">
        <v>307</v>
      </c>
      <c r="F159" s="121"/>
      <c r="G159" s="122">
        <v>45373</v>
      </c>
      <c r="H159" s="121"/>
      <c r="I159" s="121" t="s">
        <v>569</v>
      </c>
      <c r="J159" s="121"/>
      <c r="K159" s="121" t="s">
        <v>566</v>
      </c>
      <c r="L159" s="121"/>
      <c r="M159" s="121" t="s">
        <v>464</v>
      </c>
      <c r="N159" s="121"/>
      <c r="O159" s="112">
        <v>1308</v>
      </c>
      <c r="P159" s="1"/>
    </row>
    <row r="160" spans="1:16" ht="12.75" x14ac:dyDescent="0.2">
      <c r="A160" s="121"/>
      <c r="B160" s="121"/>
      <c r="C160" s="121"/>
      <c r="D160" s="121"/>
      <c r="E160" s="121" t="s">
        <v>307</v>
      </c>
      <c r="F160" s="121"/>
      <c r="G160" s="122">
        <v>45411</v>
      </c>
      <c r="H160" s="121"/>
      <c r="I160" s="121" t="s">
        <v>570</v>
      </c>
      <c r="J160" s="121"/>
      <c r="K160" s="121" t="s">
        <v>566</v>
      </c>
      <c r="L160" s="121"/>
      <c r="M160" s="121" t="s">
        <v>420</v>
      </c>
      <c r="N160" s="121"/>
      <c r="O160" s="112">
        <v>1308</v>
      </c>
      <c r="P160" s="1"/>
    </row>
    <row r="161" spans="1:16" ht="12.75" x14ac:dyDescent="0.2">
      <c r="A161" s="121"/>
      <c r="B161" s="121"/>
      <c r="C161" s="121"/>
      <c r="D161" s="121"/>
      <c r="E161" s="121" t="s">
        <v>307</v>
      </c>
      <c r="F161" s="121"/>
      <c r="G161" s="122">
        <v>45442</v>
      </c>
      <c r="H161" s="121"/>
      <c r="I161" s="121" t="s">
        <v>571</v>
      </c>
      <c r="J161" s="121"/>
      <c r="K161" s="121" t="s">
        <v>566</v>
      </c>
      <c r="L161" s="121"/>
      <c r="M161" s="121" t="s">
        <v>322</v>
      </c>
      <c r="N161" s="121"/>
      <c r="O161" s="112">
        <v>1308</v>
      </c>
      <c r="P161" s="1"/>
    </row>
    <row r="162" spans="1:16" ht="12.75" x14ac:dyDescent="0.2">
      <c r="A162" s="121"/>
      <c r="B162" s="121"/>
      <c r="C162" s="121"/>
      <c r="D162" s="121"/>
      <c r="E162" s="121" t="s">
        <v>307</v>
      </c>
      <c r="F162" s="121"/>
      <c r="G162" s="122">
        <v>45478</v>
      </c>
      <c r="H162" s="121"/>
      <c r="I162" s="121" t="s">
        <v>963</v>
      </c>
      <c r="J162" s="121"/>
      <c r="K162" s="121" t="s">
        <v>566</v>
      </c>
      <c r="L162" s="121"/>
      <c r="M162" s="121" t="s">
        <v>314</v>
      </c>
      <c r="N162" s="121"/>
      <c r="O162" s="112">
        <v>1308</v>
      </c>
      <c r="P162" s="1"/>
    </row>
    <row r="163" spans="1:16" ht="12.75" x14ac:dyDescent="0.2">
      <c r="A163" s="121"/>
      <c r="B163" s="121"/>
      <c r="C163" s="121"/>
      <c r="D163" s="121"/>
      <c r="E163" s="121" t="s">
        <v>307</v>
      </c>
      <c r="F163" s="121"/>
      <c r="G163" s="122">
        <v>45503</v>
      </c>
      <c r="H163" s="121"/>
      <c r="I163" s="121" t="s">
        <v>964</v>
      </c>
      <c r="J163" s="121"/>
      <c r="K163" s="121" t="s">
        <v>566</v>
      </c>
      <c r="L163" s="121"/>
      <c r="M163" s="121" t="s">
        <v>941</v>
      </c>
      <c r="N163" s="121"/>
      <c r="O163" s="112">
        <v>1308</v>
      </c>
      <c r="P163" s="1"/>
    </row>
    <row r="164" spans="1:16" ht="12.75" x14ac:dyDescent="0.2">
      <c r="A164" s="121"/>
      <c r="B164" s="121"/>
      <c r="C164" s="121"/>
      <c r="D164" s="121"/>
      <c r="E164" s="121" t="s">
        <v>307</v>
      </c>
      <c r="F164" s="121"/>
      <c r="G164" s="122">
        <v>45534</v>
      </c>
      <c r="H164" s="121"/>
      <c r="I164" s="121" t="s">
        <v>1140</v>
      </c>
      <c r="J164" s="121"/>
      <c r="K164" s="121" t="s">
        <v>566</v>
      </c>
      <c r="L164" s="121"/>
      <c r="M164" s="121" t="s">
        <v>970</v>
      </c>
      <c r="N164" s="121"/>
      <c r="O164" s="112">
        <v>1308</v>
      </c>
      <c r="P164" s="1"/>
    </row>
    <row r="165" spans="1:16" ht="12.75" x14ac:dyDescent="0.2">
      <c r="A165" s="121"/>
      <c r="B165" s="121"/>
      <c r="C165" s="121"/>
      <c r="D165" s="121"/>
      <c r="E165" s="121" t="s">
        <v>307</v>
      </c>
      <c r="F165" s="121"/>
      <c r="G165" s="122">
        <v>45293</v>
      </c>
      <c r="H165" s="121"/>
      <c r="I165" s="121" t="s">
        <v>572</v>
      </c>
      <c r="J165" s="121"/>
      <c r="K165" s="121" t="s">
        <v>573</v>
      </c>
      <c r="L165" s="121"/>
      <c r="M165" s="121" t="s">
        <v>462</v>
      </c>
      <c r="N165" s="121"/>
      <c r="O165" s="112">
        <v>150</v>
      </c>
      <c r="P165" s="1"/>
    </row>
    <row r="166" spans="1:16" ht="12.75" x14ac:dyDescent="0.2">
      <c r="A166" s="121"/>
      <c r="B166" s="121"/>
      <c r="C166" s="121"/>
      <c r="D166" s="121"/>
      <c r="E166" s="121" t="s">
        <v>307</v>
      </c>
      <c r="F166" s="121"/>
      <c r="G166" s="122">
        <v>45322</v>
      </c>
      <c r="H166" s="121"/>
      <c r="I166" s="121" t="s">
        <v>574</v>
      </c>
      <c r="J166" s="121"/>
      <c r="K166" s="121" t="s">
        <v>573</v>
      </c>
      <c r="L166" s="121"/>
      <c r="M166" s="121" t="s">
        <v>464</v>
      </c>
      <c r="N166" s="121"/>
      <c r="O166" s="112">
        <v>150</v>
      </c>
      <c r="P166" s="1"/>
    </row>
    <row r="167" spans="1:16" ht="12.75" x14ac:dyDescent="0.2">
      <c r="A167" s="121"/>
      <c r="B167" s="121"/>
      <c r="C167" s="121"/>
      <c r="D167" s="121"/>
      <c r="E167" s="121" t="s">
        <v>307</v>
      </c>
      <c r="F167" s="121"/>
      <c r="G167" s="122">
        <v>45351</v>
      </c>
      <c r="H167" s="121"/>
      <c r="I167" s="121" t="s">
        <v>575</v>
      </c>
      <c r="J167" s="121"/>
      <c r="K167" s="121" t="s">
        <v>573</v>
      </c>
      <c r="L167" s="121"/>
      <c r="M167" s="121" t="s">
        <v>420</v>
      </c>
      <c r="N167" s="121"/>
      <c r="O167" s="112">
        <v>150</v>
      </c>
      <c r="P167" s="1"/>
    </row>
    <row r="168" spans="1:16" ht="12.75" x14ac:dyDescent="0.2">
      <c r="A168" s="121"/>
      <c r="B168" s="121"/>
      <c r="C168" s="121"/>
      <c r="D168" s="121"/>
      <c r="E168" s="121" t="s">
        <v>307</v>
      </c>
      <c r="F168" s="121"/>
      <c r="G168" s="122">
        <v>45377</v>
      </c>
      <c r="H168" s="121"/>
      <c r="I168" s="121" t="s">
        <v>576</v>
      </c>
      <c r="J168" s="121"/>
      <c r="K168" s="121" t="s">
        <v>573</v>
      </c>
      <c r="L168" s="121"/>
      <c r="M168" s="121" t="s">
        <v>322</v>
      </c>
      <c r="N168" s="121"/>
      <c r="O168" s="112">
        <v>150</v>
      </c>
      <c r="P168" s="1"/>
    </row>
    <row r="169" spans="1:16" ht="12.75" x14ac:dyDescent="0.2">
      <c r="A169" s="121"/>
      <c r="B169" s="121"/>
      <c r="C169" s="121"/>
      <c r="D169" s="121"/>
      <c r="E169" s="121" t="s">
        <v>307</v>
      </c>
      <c r="F169" s="121"/>
      <c r="G169" s="122">
        <v>45316</v>
      </c>
      <c r="H169" s="121"/>
      <c r="I169" s="121" t="s">
        <v>577</v>
      </c>
      <c r="J169" s="121"/>
      <c r="K169" s="121" t="s">
        <v>351</v>
      </c>
      <c r="L169" s="121"/>
      <c r="M169" s="121" t="s">
        <v>462</v>
      </c>
      <c r="N169" s="121"/>
      <c r="O169" s="112">
        <v>4417</v>
      </c>
      <c r="P169" s="1"/>
    </row>
    <row r="170" spans="1:16" ht="12.75" x14ac:dyDescent="0.2">
      <c r="A170" s="121"/>
      <c r="B170" s="121"/>
      <c r="C170" s="121"/>
      <c r="D170" s="121"/>
      <c r="E170" s="121" t="s">
        <v>307</v>
      </c>
      <c r="F170" s="121"/>
      <c r="G170" s="122">
        <v>45329</v>
      </c>
      <c r="H170" s="121"/>
      <c r="I170" s="121" t="s">
        <v>578</v>
      </c>
      <c r="J170" s="121"/>
      <c r="K170" s="121" t="s">
        <v>351</v>
      </c>
      <c r="L170" s="121"/>
      <c r="M170" s="121" t="s">
        <v>464</v>
      </c>
      <c r="N170" s="121"/>
      <c r="O170" s="112">
        <v>4417</v>
      </c>
      <c r="P170" s="1"/>
    </row>
    <row r="171" spans="1:16" ht="12.75" x14ac:dyDescent="0.2">
      <c r="A171" s="121"/>
      <c r="B171" s="121"/>
      <c r="C171" s="121"/>
      <c r="D171" s="121"/>
      <c r="E171" s="121" t="s">
        <v>307</v>
      </c>
      <c r="F171" s="121"/>
      <c r="G171" s="122">
        <v>45362</v>
      </c>
      <c r="H171" s="121"/>
      <c r="I171" s="121" t="s">
        <v>579</v>
      </c>
      <c r="J171" s="121"/>
      <c r="K171" s="121" t="s">
        <v>351</v>
      </c>
      <c r="L171" s="121"/>
      <c r="M171" s="121" t="s">
        <v>420</v>
      </c>
      <c r="N171" s="121"/>
      <c r="O171" s="112">
        <v>4417</v>
      </c>
      <c r="P171" s="1"/>
    </row>
    <row r="172" spans="1:16" ht="12.75" x14ac:dyDescent="0.2">
      <c r="A172" s="121"/>
      <c r="B172" s="121"/>
      <c r="C172" s="121"/>
      <c r="D172" s="121"/>
      <c r="E172" s="121" t="s">
        <v>307</v>
      </c>
      <c r="F172" s="121"/>
      <c r="G172" s="122">
        <v>45385</v>
      </c>
      <c r="H172" s="121"/>
      <c r="I172" s="121" t="s">
        <v>580</v>
      </c>
      <c r="J172" s="121"/>
      <c r="K172" s="121" t="s">
        <v>351</v>
      </c>
      <c r="L172" s="121"/>
      <c r="M172" s="121" t="s">
        <v>322</v>
      </c>
      <c r="N172" s="121"/>
      <c r="O172" s="112">
        <v>4417</v>
      </c>
      <c r="P172" s="1"/>
    </row>
    <row r="173" spans="1:16" ht="12.75" x14ac:dyDescent="0.2">
      <c r="A173" s="121"/>
      <c r="B173" s="121"/>
      <c r="C173" s="121"/>
      <c r="D173" s="121"/>
      <c r="E173" s="121" t="s">
        <v>307</v>
      </c>
      <c r="F173" s="121"/>
      <c r="G173" s="122">
        <v>45420</v>
      </c>
      <c r="H173" s="121"/>
      <c r="I173" s="121" t="s">
        <v>581</v>
      </c>
      <c r="J173" s="121"/>
      <c r="K173" s="121" t="s">
        <v>351</v>
      </c>
      <c r="L173" s="121"/>
      <c r="M173" s="121" t="s">
        <v>311</v>
      </c>
      <c r="N173" s="121"/>
      <c r="O173" s="112">
        <v>4417</v>
      </c>
      <c r="P173" s="1"/>
    </row>
    <row r="174" spans="1:16" ht="12.75" x14ac:dyDescent="0.2">
      <c r="A174" s="121"/>
      <c r="B174" s="121"/>
      <c r="C174" s="121"/>
      <c r="D174" s="121"/>
      <c r="E174" s="121" t="s">
        <v>307</v>
      </c>
      <c r="F174" s="121"/>
      <c r="G174" s="122">
        <v>45448</v>
      </c>
      <c r="H174" s="121"/>
      <c r="I174" s="121" t="s">
        <v>350</v>
      </c>
      <c r="J174" s="121"/>
      <c r="K174" s="121" t="s">
        <v>351</v>
      </c>
      <c r="L174" s="121"/>
      <c r="M174" s="121" t="s">
        <v>314</v>
      </c>
      <c r="N174" s="121"/>
      <c r="O174" s="112">
        <v>4417</v>
      </c>
      <c r="P174" s="1"/>
    </row>
    <row r="175" spans="1:16" ht="12.75" x14ac:dyDescent="0.2">
      <c r="A175" s="121"/>
      <c r="B175" s="121"/>
      <c r="C175" s="121"/>
      <c r="D175" s="121"/>
      <c r="E175" s="121" t="s">
        <v>307</v>
      </c>
      <c r="F175" s="121"/>
      <c r="G175" s="122">
        <v>45478</v>
      </c>
      <c r="H175" s="121"/>
      <c r="I175" s="121" t="s">
        <v>965</v>
      </c>
      <c r="J175" s="121"/>
      <c r="K175" s="121" t="s">
        <v>351</v>
      </c>
      <c r="L175" s="121"/>
      <c r="M175" s="121" t="s">
        <v>941</v>
      </c>
      <c r="N175" s="121"/>
      <c r="O175" s="112">
        <v>4417</v>
      </c>
      <c r="P175" s="1"/>
    </row>
    <row r="176" spans="1:16" ht="12.75" x14ac:dyDescent="0.2">
      <c r="A176" s="121"/>
      <c r="B176" s="121"/>
      <c r="C176" s="121"/>
      <c r="D176" s="121"/>
      <c r="E176" s="121" t="s">
        <v>307</v>
      </c>
      <c r="F176" s="121"/>
      <c r="G176" s="122">
        <v>45511</v>
      </c>
      <c r="H176" s="121"/>
      <c r="I176" s="121" t="s">
        <v>1141</v>
      </c>
      <c r="J176" s="121"/>
      <c r="K176" s="121" t="s">
        <v>351</v>
      </c>
      <c r="L176" s="121"/>
      <c r="M176" s="121" t="s">
        <v>970</v>
      </c>
      <c r="N176" s="121"/>
      <c r="O176" s="112">
        <v>4417</v>
      </c>
      <c r="P176" s="1"/>
    </row>
    <row r="177" spans="1:16" ht="12.75" x14ac:dyDescent="0.2">
      <c r="A177" s="121"/>
      <c r="B177" s="121"/>
      <c r="C177" s="121"/>
      <c r="D177" s="121"/>
      <c r="E177" s="121" t="s">
        <v>307</v>
      </c>
      <c r="F177" s="121"/>
      <c r="G177" s="122">
        <v>45322</v>
      </c>
      <c r="H177" s="121"/>
      <c r="I177" s="121" t="s">
        <v>582</v>
      </c>
      <c r="J177" s="121"/>
      <c r="K177" s="121" t="s">
        <v>583</v>
      </c>
      <c r="L177" s="121"/>
      <c r="M177" s="121" t="s">
        <v>584</v>
      </c>
      <c r="N177" s="121"/>
      <c r="O177" s="112">
        <v>300</v>
      </c>
      <c r="P177" s="1"/>
    </row>
    <row r="178" spans="1:16" ht="12.75" x14ac:dyDescent="0.2">
      <c r="A178" s="121"/>
      <c r="B178" s="121"/>
      <c r="C178" s="121"/>
      <c r="D178" s="121"/>
      <c r="E178" s="121" t="s">
        <v>307</v>
      </c>
      <c r="F178" s="121"/>
      <c r="G178" s="122">
        <v>45440</v>
      </c>
      <c r="H178" s="121"/>
      <c r="I178" s="121" t="s">
        <v>585</v>
      </c>
      <c r="J178" s="121"/>
      <c r="K178" s="121" t="s">
        <v>583</v>
      </c>
      <c r="L178" s="121"/>
      <c r="M178" s="121" t="s">
        <v>586</v>
      </c>
      <c r="N178" s="121"/>
      <c r="O178" s="112">
        <v>500</v>
      </c>
      <c r="P178" s="1"/>
    </row>
    <row r="179" spans="1:16" ht="12.75" x14ac:dyDescent="0.2">
      <c r="A179" s="121"/>
      <c r="B179" s="121"/>
      <c r="C179" s="121"/>
      <c r="D179" s="121"/>
      <c r="E179" s="121" t="s">
        <v>307</v>
      </c>
      <c r="F179" s="121"/>
      <c r="G179" s="122">
        <v>45327</v>
      </c>
      <c r="H179" s="121"/>
      <c r="I179" s="121" t="s">
        <v>587</v>
      </c>
      <c r="J179" s="121"/>
      <c r="K179" s="121" t="s">
        <v>588</v>
      </c>
      <c r="L179" s="121"/>
      <c r="M179" s="121" t="s">
        <v>462</v>
      </c>
      <c r="N179" s="121"/>
      <c r="O179" s="112">
        <v>50</v>
      </c>
    </row>
    <row r="180" spans="1:16" ht="12.75" x14ac:dyDescent="0.2">
      <c r="A180" s="121"/>
      <c r="B180" s="121"/>
      <c r="C180" s="121"/>
      <c r="D180" s="121"/>
      <c r="E180" s="121" t="s">
        <v>307</v>
      </c>
      <c r="F180" s="121"/>
      <c r="G180" s="122">
        <v>45377</v>
      </c>
      <c r="H180" s="121"/>
      <c r="I180" s="121" t="s">
        <v>590</v>
      </c>
      <c r="J180" s="121"/>
      <c r="K180" s="121" t="s">
        <v>588</v>
      </c>
      <c r="L180" s="121"/>
      <c r="M180" s="121" t="s">
        <v>322</v>
      </c>
      <c r="N180" s="121"/>
      <c r="O180" s="112">
        <v>25</v>
      </c>
    </row>
    <row r="181" spans="1:16" ht="12.75" x14ac:dyDescent="0.2">
      <c r="A181" s="121"/>
      <c r="B181" s="121"/>
      <c r="C181" s="121"/>
      <c r="D181" s="121"/>
      <c r="E181" s="121" t="s">
        <v>307</v>
      </c>
      <c r="F181" s="121"/>
      <c r="G181" s="122">
        <v>45384</v>
      </c>
      <c r="H181" s="121"/>
      <c r="I181" s="121" t="s">
        <v>591</v>
      </c>
      <c r="J181" s="121"/>
      <c r="K181" s="121" t="s">
        <v>588</v>
      </c>
      <c r="L181" s="121"/>
      <c r="M181" s="121" t="s">
        <v>311</v>
      </c>
      <c r="N181" s="121"/>
      <c r="O181" s="112">
        <v>30</v>
      </c>
    </row>
    <row r="182" spans="1:16" ht="12.75" x14ac:dyDescent="0.2">
      <c r="A182" s="121"/>
      <c r="B182" s="121"/>
      <c r="C182" s="121"/>
      <c r="D182" s="121"/>
      <c r="E182" s="121" t="s">
        <v>307</v>
      </c>
      <c r="F182" s="121"/>
      <c r="G182" s="122">
        <v>45348</v>
      </c>
      <c r="H182" s="121"/>
      <c r="I182" s="121" t="s">
        <v>592</v>
      </c>
      <c r="J182" s="121"/>
      <c r="K182" s="121" t="s">
        <v>588</v>
      </c>
      <c r="L182" s="121"/>
      <c r="M182" s="121" t="s">
        <v>464</v>
      </c>
      <c r="N182" s="121"/>
      <c r="O182" s="112">
        <v>25</v>
      </c>
    </row>
    <row r="183" spans="1:16" ht="12.75" x14ac:dyDescent="0.2">
      <c r="A183" s="121"/>
      <c r="B183" s="121"/>
      <c r="C183" s="121"/>
      <c r="D183" s="121"/>
      <c r="E183" s="121" t="s">
        <v>307</v>
      </c>
      <c r="F183" s="121"/>
      <c r="G183" s="122">
        <v>45408</v>
      </c>
      <c r="H183" s="121"/>
      <c r="I183" s="121" t="s">
        <v>1107</v>
      </c>
      <c r="J183" s="121"/>
      <c r="K183" s="121" t="s">
        <v>588</v>
      </c>
      <c r="L183" s="121"/>
      <c r="M183" s="121" t="s">
        <v>314</v>
      </c>
      <c r="N183" s="121"/>
      <c r="O183" s="112">
        <v>25</v>
      </c>
    </row>
    <row r="184" spans="1:16" ht="12.75" x14ac:dyDescent="0.2">
      <c r="A184" s="121"/>
      <c r="B184" s="121"/>
      <c r="C184" s="121"/>
      <c r="D184" s="121"/>
      <c r="E184" s="121" t="s">
        <v>307</v>
      </c>
      <c r="F184" s="121"/>
      <c r="G184" s="122">
        <v>45504</v>
      </c>
      <c r="H184" s="121"/>
      <c r="I184" s="121" t="s">
        <v>966</v>
      </c>
      <c r="J184" s="121"/>
      <c r="K184" s="121" t="s">
        <v>588</v>
      </c>
      <c r="L184" s="121"/>
      <c r="M184" s="121" t="s">
        <v>941</v>
      </c>
      <c r="N184" s="121"/>
      <c r="O184" s="112">
        <v>30</v>
      </c>
    </row>
    <row r="185" spans="1:16" ht="12.75" x14ac:dyDescent="0.2">
      <c r="A185" s="121"/>
      <c r="B185" s="121"/>
      <c r="C185" s="121"/>
      <c r="D185" s="121"/>
      <c r="E185" s="121" t="s">
        <v>307</v>
      </c>
      <c r="F185" s="121"/>
      <c r="G185" s="122">
        <v>45532</v>
      </c>
      <c r="H185" s="121"/>
      <c r="I185" s="121" t="s">
        <v>1142</v>
      </c>
      <c r="J185" s="121"/>
      <c r="K185" s="121" t="s">
        <v>588</v>
      </c>
      <c r="L185" s="121"/>
      <c r="M185" s="121" t="s">
        <v>970</v>
      </c>
      <c r="N185" s="121"/>
      <c r="O185" s="112">
        <v>30</v>
      </c>
      <c r="P185" s="131">
        <f>SUBTOTAL(9,O179:O185)</f>
        <v>215</v>
      </c>
    </row>
    <row r="186" spans="1:16" ht="12.75" x14ac:dyDescent="0.2">
      <c r="A186" s="121"/>
      <c r="B186" s="121"/>
      <c r="C186" s="121"/>
      <c r="D186" s="121"/>
      <c r="E186" s="121" t="s">
        <v>307</v>
      </c>
      <c r="F186" s="121"/>
      <c r="G186" s="122">
        <v>45303</v>
      </c>
      <c r="H186" s="121"/>
      <c r="I186" s="121" t="s">
        <v>593</v>
      </c>
      <c r="J186" s="121"/>
      <c r="K186" s="121" t="s">
        <v>353</v>
      </c>
      <c r="L186" s="121"/>
      <c r="M186" s="121" t="s">
        <v>462</v>
      </c>
      <c r="N186" s="121"/>
      <c r="O186" s="112">
        <v>170</v>
      </c>
      <c r="P186" s="1"/>
    </row>
    <row r="187" spans="1:16" ht="12.75" x14ac:dyDescent="0.2">
      <c r="A187" s="121"/>
      <c r="B187" s="121"/>
      <c r="C187" s="121"/>
      <c r="D187" s="121"/>
      <c r="E187" s="121" t="s">
        <v>307</v>
      </c>
      <c r="F187" s="121"/>
      <c r="G187" s="122">
        <v>45334</v>
      </c>
      <c r="H187" s="121"/>
      <c r="I187" s="121" t="s">
        <v>594</v>
      </c>
      <c r="J187" s="121"/>
      <c r="K187" s="121" t="s">
        <v>353</v>
      </c>
      <c r="L187" s="121"/>
      <c r="M187" s="121" t="s">
        <v>464</v>
      </c>
      <c r="N187" s="121"/>
      <c r="O187" s="112">
        <v>170</v>
      </c>
      <c r="P187" s="1"/>
    </row>
    <row r="188" spans="1:16" ht="12.75" x14ac:dyDescent="0.2">
      <c r="A188" s="121"/>
      <c r="B188" s="121"/>
      <c r="C188" s="121"/>
      <c r="D188" s="121"/>
      <c r="E188" s="121" t="s">
        <v>307</v>
      </c>
      <c r="F188" s="121"/>
      <c r="G188" s="122">
        <v>45369</v>
      </c>
      <c r="H188" s="121"/>
      <c r="I188" s="121" t="s">
        <v>595</v>
      </c>
      <c r="J188" s="121"/>
      <c r="K188" s="121" t="s">
        <v>353</v>
      </c>
      <c r="L188" s="121"/>
      <c r="M188" s="121" t="s">
        <v>420</v>
      </c>
      <c r="N188" s="121"/>
      <c r="O188" s="112">
        <v>170</v>
      </c>
      <c r="P188" s="1"/>
    </row>
    <row r="189" spans="1:16" ht="12.75" x14ac:dyDescent="0.2">
      <c r="A189" s="121"/>
      <c r="B189" s="121"/>
      <c r="C189" s="121"/>
      <c r="D189" s="121"/>
      <c r="E189" s="121" t="s">
        <v>307</v>
      </c>
      <c r="F189" s="121"/>
      <c r="G189" s="122">
        <v>45399</v>
      </c>
      <c r="H189" s="121"/>
      <c r="I189" s="121" t="s">
        <v>596</v>
      </c>
      <c r="J189" s="121"/>
      <c r="K189" s="121" t="s">
        <v>353</v>
      </c>
      <c r="L189" s="121"/>
      <c r="M189" s="121" t="s">
        <v>322</v>
      </c>
      <c r="N189" s="121"/>
      <c r="O189" s="112">
        <v>170</v>
      </c>
      <c r="P189" s="1"/>
    </row>
    <row r="190" spans="1:16" ht="12.75" x14ac:dyDescent="0.2">
      <c r="A190" s="121"/>
      <c r="B190" s="121"/>
      <c r="C190" s="121"/>
      <c r="D190" s="121"/>
      <c r="E190" s="121" t="s">
        <v>307</v>
      </c>
      <c r="F190" s="121"/>
      <c r="G190" s="122">
        <v>45433</v>
      </c>
      <c r="H190" s="121"/>
      <c r="I190" s="121" t="s">
        <v>597</v>
      </c>
      <c r="J190" s="121"/>
      <c r="K190" s="121" t="s">
        <v>353</v>
      </c>
      <c r="L190" s="121"/>
      <c r="M190" s="121" t="s">
        <v>311</v>
      </c>
      <c r="N190" s="121"/>
      <c r="O190" s="112">
        <v>170</v>
      </c>
      <c r="P190" s="1"/>
    </row>
    <row r="191" spans="1:16" ht="12.75" x14ac:dyDescent="0.2">
      <c r="A191" s="121"/>
      <c r="B191" s="121"/>
      <c r="C191" s="121"/>
      <c r="D191" s="121"/>
      <c r="E191" s="121" t="s">
        <v>307</v>
      </c>
      <c r="F191" s="121"/>
      <c r="G191" s="122">
        <v>45461</v>
      </c>
      <c r="H191" s="121"/>
      <c r="I191" s="121" t="s">
        <v>352</v>
      </c>
      <c r="J191" s="121"/>
      <c r="K191" s="121" t="s">
        <v>353</v>
      </c>
      <c r="L191" s="121"/>
      <c r="M191" s="121" t="s">
        <v>314</v>
      </c>
      <c r="N191" s="121"/>
      <c r="O191" s="112">
        <v>170</v>
      </c>
      <c r="P191" s="1"/>
    </row>
    <row r="192" spans="1:16" ht="12.75" x14ac:dyDescent="0.2">
      <c r="A192" s="121"/>
      <c r="B192" s="121"/>
      <c r="C192" s="121"/>
      <c r="D192" s="121"/>
      <c r="E192" s="121" t="s">
        <v>307</v>
      </c>
      <c r="F192" s="121"/>
      <c r="G192" s="122">
        <v>45489</v>
      </c>
      <c r="H192" s="121"/>
      <c r="I192" s="121" t="s">
        <v>967</v>
      </c>
      <c r="J192" s="121"/>
      <c r="K192" s="121" t="s">
        <v>353</v>
      </c>
      <c r="L192" s="121"/>
      <c r="M192" s="121" t="s">
        <v>941</v>
      </c>
      <c r="N192" s="121"/>
      <c r="O192" s="112">
        <v>170</v>
      </c>
      <c r="P192" s="1"/>
    </row>
    <row r="193" spans="1:16" ht="12.75" x14ac:dyDescent="0.2">
      <c r="A193" s="121"/>
      <c r="B193" s="121"/>
      <c r="C193" s="121"/>
      <c r="D193" s="121"/>
      <c r="E193" s="121" t="s">
        <v>307</v>
      </c>
      <c r="F193" s="121"/>
      <c r="G193" s="122">
        <v>45523</v>
      </c>
      <c r="H193" s="121"/>
      <c r="I193" s="121" t="s">
        <v>1143</v>
      </c>
      <c r="J193" s="121"/>
      <c r="K193" s="121" t="s">
        <v>353</v>
      </c>
      <c r="L193" s="121"/>
      <c r="M193" s="121" t="s">
        <v>970</v>
      </c>
      <c r="N193" s="121"/>
      <c r="O193" s="112">
        <v>170</v>
      </c>
      <c r="P193" s="1"/>
    </row>
    <row r="194" spans="1:16" ht="12.75" x14ac:dyDescent="0.2">
      <c r="A194" s="121"/>
      <c r="B194" s="121"/>
      <c r="C194" s="121"/>
      <c r="D194" s="121"/>
      <c r="E194" s="121" t="s">
        <v>307</v>
      </c>
      <c r="F194" s="121"/>
      <c r="G194" s="122">
        <v>45322</v>
      </c>
      <c r="H194" s="121"/>
      <c r="I194" s="121" t="s">
        <v>598</v>
      </c>
      <c r="J194" s="121"/>
      <c r="K194" s="121" t="s">
        <v>599</v>
      </c>
      <c r="L194" s="121"/>
      <c r="M194" s="121" t="s">
        <v>462</v>
      </c>
      <c r="N194" s="121"/>
      <c r="O194" s="112">
        <v>687.5</v>
      </c>
    </row>
    <row r="195" spans="1:16" ht="12.75" x14ac:dyDescent="0.2">
      <c r="A195" s="121"/>
      <c r="B195" s="121"/>
      <c r="C195" s="121"/>
      <c r="D195" s="121"/>
      <c r="E195" s="121" t="s">
        <v>307</v>
      </c>
      <c r="F195" s="121"/>
      <c r="G195" s="122">
        <v>45350</v>
      </c>
      <c r="H195" s="121"/>
      <c r="I195" s="121" t="s">
        <v>600</v>
      </c>
      <c r="J195" s="121"/>
      <c r="K195" s="121" t="s">
        <v>599</v>
      </c>
      <c r="L195" s="121"/>
      <c r="M195" s="121" t="s">
        <v>464</v>
      </c>
      <c r="N195" s="121"/>
      <c r="O195" s="112">
        <v>687.5</v>
      </c>
    </row>
    <row r="196" spans="1:16" ht="12.75" x14ac:dyDescent="0.2">
      <c r="A196" s="121"/>
      <c r="B196" s="121"/>
      <c r="C196" s="121"/>
      <c r="D196" s="121"/>
      <c r="E196" s="121" t="s">
        <v>307</v>
      </c>
      <c r="F196" s="121"/>
      <c r="G196" s="122">
        <v>45365</v>
      </c>
      <c r="H196" s="121"/>
      <c r="I196" s="121" t="s">
        <v>601</v>
      </c>
      <c r="J196" s="121"/>
      <c r="K196" s="121" t="s">
        <v>599</v>
      </c>
      <c r="L196" s="121"/>
      <c r="M196" s="121" t="s">
        <v>420</v>
      </c>
      <c r="N196" s="121"/>
      <c r="O196" s="112">
        <v>687.5</v>
      </c>
    </row>
    <row r="197" spans="1:16" ht="12.75" x14ac:dyDescent="0.2">
      <c r="A197" s="121"/>
      <c r="B197" s="121"/>
      <c r="C197" s="121"/>
      <c r="D197" s="121"/>
      <c r="E197" s="121" t="s">
        <v>307</v>
      </c>
      <c r="F197" s="121"/>
      <c r="G197" s="122">
        <v>45420</v>
      </c>
      <c r="H197" s="121"/>
      <c r="I197" s="121" t="s">
        <v>602</v>
      </c>
      <c r="J197" s="121"/>
      <c r="K197" s="121" t="s">
        <v>599</v>
      </c>
      <c r="L197" s="121"/>
      <c r="M197" s="121" t="s">
        <v>322</v>
      </c>
      <c r="N197" s="121"/>
      <c r="O197" s="112">
        <v>687.5</v>
      </c>
    </row>
    <row r="198" spans="1:16" ht="12.75" x14ac:dyDescent="0.2">
      <c r="A198" s="121"/>
      <c r="B198" s="121"/>
      <c r="C198" s="121"/>
      <c r="D198" s="121"/>
      <c r="E198" s="121" t="s">
        <v>307</v>
      </c>
      <c r="F198" s="121"/>
      <c r="G198" s="122">
        <v>45420</v>
      </c>
      <c r="H198" s="121"/>
      <c r="I198" s="121" t="s">
        <v>603</v>
      </c>
      <c r="J198" s="121"/>
      <c r="K198" s="121" t="s">
        <v>599</v>
      </c>
      <c r="L198" s="121"/>
      <c r="M198" s="121" t="s">
        <v>311</v>
      </c>
      <c r="N198" s="121"/>
      <c r="O198" s="112">
        <v>687.5</v>
      </c>
    </row>
    <row r="199" spans="1:16" ht="12.75" x14ac:dyDescent="0.2">
      <c r="A199" s="121"/>
      <c r="B199" s="121"/>
      <c r="C199" s="121"/>
      <c r="D199" s="121"/>
      <c r="E199" s="121" t="s">
        <v>307</v>
      </c>
      <c r="F199" s="121"/>
      <c r="G199" s="122">
        <v>45443</v>
      </c>
      <c r="H199" s="121"/>
      <c r="I199" s="121" t="s">
        <v>604</v>
      </c>
      <c r="J199" s="121"/>
      <c r="K199" s="121" t="s">
        <v>599</v>
      </c>
      <c r="L199" s="121"/>
      <c r="M199" s="121" t="s">
        <v>314</v>
      </c>
      <c r="N199" s="121"/>
      <c r="O199" s="112">
        <v>687.5</v>
      </c>
    </row>
    <row r="200" spans="1:16" ht="12.75" x14ac:dyDescent="0.2">
      <c r="A200" s="121"/>
      <c r="B200" s="121"/>
      <c r="C200" s="121"/>
      <c r="D200" s="121"/>
      <c r="E200" s="121" t="s">
        <v>307</v>
      </c>
      <c r="F200" s="121"/>
      <c r="G200" s="122">
        <v>45478</v>
      </c>
      <c r="H200" s="121"/>
      <c r="I200" s="121" t="s">
        <v>968</v>
      </c>
      <c r="J200" s="121"/>
      <c r="K200" s="121" t="s">
        <v>599</v>
      </c>
      <c r="L200" s="121"/>
      <c r="M200" s="121" t="s">
        <v>941</v>
      </c>
      <c r="N200" s="121"/>
      <c r="O200" s="112">
        <v>687.5</v>
      </c>
    </row>
    <row r="201" spans="1:16" ht="12.75" x14ac:dyDescent="0.2">
      <c r="A201" s="121"/>
      <c r="B201" s="121"/>
      <c r="C201" s="121"/>
      <c r="D201" s="121"/>
      <c r="E201" s="121" t="s">
        <v>307</v>
      </c>
      <c r="F201" s="121"/>
      <c r="G201" s="122">
        <v>45503</v>
      </c>
      <c r="H201" s="121"/>
      <c r="I201" s="121" t="s">
        <v>969</v>
      </c>
      <c r="J201" s="121"/>
      <c r="K201" s="121" t="s">
        <v>599</v>
      </c>
      <c r="L201" s="121"/>
      <c r="M201" s="121" t="s">
        <v>970</v>
      </c>
      <c r="N201" s="121"/>
      <c r="O201" s="112">
        <v>687.5</v>
      </c>
    </row>
    <row r="202" spans="1:16" ht="12.75" x14ac:dyDescent="0.2">
      <c r="A202" s="121"/>
      <c r="B202" s="121"/>
      <c r="C202" s="121"/>
      <c r="D202" s="121"/>
      <c r="E202" s="121" t="s">
        <v>307</v>
      </c>
      <c r="F202" s="121"/>
      <c r="G202" s="122">
        <v>45534</v>
      </c>
      <c r="H202" s="121"/>
      <c r="I202" s="121" t="s">
        <v>1144</v>
      </c>
      <c r="J202" s="121"/>
      <c r="K202" s="121" t="s">
        <v>599</v>
      </c>
      <c r="L202" s="121"/>
      <c r="M202" s="121" t="s">
        <v>1145</v>
      </c>
      <c r="N202" s="121"/>
      <c r="O202" s="112">
        <v>687.5</v>
      </c>
      <c r="P202" s="131">
        <f>SUBTOTAL(9,O194:O202)</f>
        <v>6187.5</v>
      </c>
    </row>
    <row r="203" spans="1:16" ht="12.75" x14ac:dyDescent="0.2">
      <c r="A203" s="121"/>
      <c r="B203" s="121"/>
      <c r="C203" s="121"/>
      <c r="D203" s="121"/>
      <c r="E203" s="121" t="s">
        <v>307</v>
      </c>
      <c r="F203" s="121"/>
      <c r="G203" s="122">
        <v>45334</v>
      </c>
      <c r="H203" s="121"/>
      <c r="I203" s="121" t="s">
        <v>605</v>
      </c>
      <c r="J203" s="121"/>
      <c r="K203" s="121" t="s">
        <v>355</v>
      </c>
      <c r="L203" s="121"/>
      <c r="M203" s="121" t="s">
        <v>462</v>
      </c>
      <c r="N203" s="121"/>
      <c r="O203" s="112">
        <v>541.66999999999996</v>
      </c>
      <c r="P203" s="1"/>
    </row>
    <row r="204" spans="1:16" ht="12.75" x14ac:dyDescent="0.2">
      <c r="A204" s="121"/>
      <c r="B204" s="121"/>
      <c r="C204" s="121"/>
      <c r="D204" s="121"/>
      <c r="E204" s="121" t="s">
        <v>307</v>
      </c>
      <c r="F204" s="121"/>
      <c r="G204" s="122">
        <v>45356</v>
      </c>
      <c r="H204" s="121"/>
      <c r="I204" s="121" t="s">
        <v>606</v>
      </c>
      <c r="J204" s="121"/>
      <c r="K204" s="121" t="s">
        <v>355</v>
      </c>
      <c r="L204" s="121"/>
      <c r="M204" s="121" t="s">
        <v>464</v>
      </c>
      <c r="N204" s="121"/>
      <c r="O204" s="112">
        <v>541.66999999999996</v>
      </c>
      <c r="P204" s="1"/>
    </row>
    <row r="205" spans="1:16" ht="12.75" x14ac:dyDescent="0.2">
      <c r="A205" s="121"/>
      <c r="B205" s="121"/>
      <c r="C205" s="121"/>
      <c r="D205" s="121"/>
      <c r="E205" s="121" t="s">
        <v>307</v>
      </c>
      <c r="F205" s="121"/>
      <c r="G205" s="122">
        <v>45380</v>
      </c>
      <c r="H205" s="121"/>
      <c r="I205" s="121" t="s">
        <v>607</v>
      </c>
      <c r="J205" s="121"/>
      <c r="K205" s="121" t="s">
        <v>355</v>
      </c>
      <c r="L205" s="121"/>
      <c r="M205" s="121" t="s">
        <v>420</v>
      </c>
      <c r="N205" s="121"/>
      <c r="O205" s="112">
        <v>541.66999999999996</v>
      </c>
      <c r="P205" s="1"/>
    </row>
    <row r="206" spans="1:16" ht="12.75" x14ac:dyDescent="0.2">
      <c r="A206" s="121"/>
      <c r="B206" s="121"/>
      <c r="C206" s="121"/>
      <c r="D206" s="121"/>
      <c r="E206" s="121" t="s">
        <v>307</v>
      </c>
      <c r="F206" s="121"/>
      <c r="G206" s="122">
        <v>45411</v>
      </c>
      <c r="H206" s="121"/>
      <c r="I206" s="121" t="s">
        <v>608</v>
      </c>
      <c r="J206" s="121"/>
      <c r="K206" s="121" t="s">
        <v>355</v>
      </c>
      <c r="L206" s="121"/>
      <c r="M206" s="121" t="s">
        <v>322</v>
      </c>
      <c r="N206" s="121"/>
      <c r="O206" s="112">
        <v>541.66999999999996</v>
      </c>
      <c r="P206" s="1"/>
    </row>
    <row r="207" spans="1:16" ht="12.75" x14ac:dyDescent="0.2">
      <c r="A207" s="121"/>
      <c r="B207" s="121"/>
      <c r="C207" s="121"/>
      <c r="D207" s="121"/>
      <c r="E207" s="121" t="s">
        <v>307</v>
      </c>
      <c r="F207" s="121"/>
      <c r="G207" s="122">
        <v>45447</v>
      </c>
      <c r="H207" s="121"/>
      <c r="I207" s="121" t="s">
        <v>354</v>
      </c>
      <c r="J207" s="121"/>
      <c r="K207" s="121" t="s">
        <v>355</v>
      </c>
      <c r="L207" s="121"/>
      <c r="M207" s="121" t="s">
        <v>311</v>
      </c>
      <c r="N207" s="121"/>
      <c r="O207" s="112">
        <v>541.66999999999996</v>
      </c>
      <c r="P207" s="1"/>
    </row>
    <row r="208" spans="1:16" ht="12.75" x14ac:dyDescent="0.2">
      <c r="A208" s="121"/>
      <c r="B208" s="121"/>
      <c r="C208" s="121"/>
      <c r="D208" s="121"/>
      <c r="E208" s="121" t="s">
        <v>307</v>
      </c>
      <c r="F208" s="121"/>
      <c r="G208" s="122">
        <v>45471</v>
      </c>
      <c r="H208" s="121"/>
      <c r="I208" s="121" t="s">
        <v>356</v>
      </c>
      <c r="J208" s="121"/>
      <c r="K208" s="121" t="s">
        <v>355</v>
      </c>
      <c r="L208" s="121"/>
      <c r="M208" s="121" t="s">
        <v>314</v>
      </c>
      <c r="N208" s="121"/>
      <c r="O208" s="112">
        <v>541.66999999999996</v>
      </c>
      <c r="P208" s="1"/>
    </row>
    <row r="209" spans="1:16" ht="12.75" x14ac:dyDescent="0.2">
      <c r="A209" s="121"/>
      <c r="B209" s="121"/>
      <c r="C209" s="121"/>
      <c r="D209" s="121"/>
      <c r="E209" s="121" t="s">
        <v>307</v>
      </c>
      <c r="F209" s="121"/>
      <c r="G209" s="122">
        <v>45510</v>
      </c>
      <c r="H209" s="121"/>
      <c r="I209" s="121" t="s">
        <v>1146</v>
      </c>
      <c r="J209" s="121"/>
      <c r="K209" s="121" t="s">
        <v>355</v>
      </c>
      <c r="L209" s="121"/>
      <c r="M209" s="121" t="s">
        <v>941</v>
      </c>
      <c r="N209" s="121"/>
      <c r="O209" s="112">
        <v>541.66999999999996</v>
      </c>
      <c r="P209" s="1"/>
    </row>
    <row r="210" spans="1:16" ht="12.75" x14ac:dyDescent="0.2">
      <c r="A210" s="121"/>
      <c r="B210" s="121"/>
      <c r="C210" s="121"/>
      <c r="D210" s="121"/>
      <c r="E210" s="121" t="s">
        <v>307</v>
      </c>
      <c r="F210" s="121"/>
      <c r="G210" s="122">
        <v>45342</v>
      </c>
      <c r="H210" s="121"/>
      <c r="I210" s="121" t="s">
        <v>609</v>
      </c>
      <c r="J210" s="121"/>
      <c r="K210" s="121" t="s">
        <v>610</v>
      </c>
      <c r="L210" s="121"/>
      <c r="M210" s="121" t="s">
        <v>584</v>
      </c>
      <c r="N210" s="121"/>
      <c r="O210" s="112">
        <v>5000</v>
      </c>
      <c r="P210" s="1"/>
    </row>
    <row r="211" spans="1:16" ht="12.75" x14ac:dyDescent="0.2">
      <c r="A211" s="121"/>
      <c r="B211" s="121"/>
      <c r="C211" s="121"/>
      <c r="D211" s="121"/>
      <c r="E211" s="121" t="s">
        <v>307</v>
      </c>
      <c r="F211" s="121"/>
      <c r="G211" s="122">
        <v>45440</v>
      </c>
      <c r="H211" s="121"/>
      <c r="I211" s="121" t="s">
        <v>611</v>
      </c>
      <c r="J211" s="121"/>
      <c r="K211" s="121" t="s">
        <v>610</v>
      </c>
      <c r="L211" s="121"/>
      <c r="M211" s="121" t="s">
        <v>612</v>
      </c>
      <c r="N211" s="121"/>
      <c r="O211" s="112">
        <v>5000</v>
      </c>
      <c r="P211" s="1"/>
    </row>
    <row r="212" spans="1:16" ht="12.75" x14ac:dyDescent="0.2">
      <c r="A212" s="121"/>
      <c r="B212" s="121"/>
      <c r="C212" s="121"/>
      <c r="D212" s="121"/>
      <c r="E212" s="121" t="s">
        <v>307</v>
      </c>
      <c r="F212" s="121"/>
      <c r="G212" s="122">
        <v>45329</v>
      </c>
      <c r="H212" s="121"/>
      <c r="I212" s="121" t="s">
        <v>613</v>
      </c>
      <c r="J212" s="121"/>
      <c r="K212" s="121" t="s">
        <v>358</v>
      </c>
      <c r="L212" s="121"/>
      <c r="M212" s="121" t="s">
        <v>462</v>
      </c>
      <c r="N212" s="121"/>
      <c r="O212" s="112">
        <v>250</v>
      </c>
      <c r="P212" s="1"/>
    </row>
    <row r="213" spans="1:16" ht="12.75" x14ac:dyDescent="0.2">
      <c r="A213" s="121"/>
      <c r="B213" s="121"/>
      <c r="C213" s="121"/>
      <c r="D213" s="121"/>
      <c r="E213" s="121" t="s">
        <v>307</v>
      </c>
      <c r="F213" s="121"/>
      <c r="G213" s="122">
        <v>45362</v>
      </c>
      <c r="H213" s="121"/>
      <c r="I213" s="121" t="s">
        <v>614</v>
      </c>
      <c r="J213" s="121"/>
      <c r="K213" s="121" t="s">
        <v>358</v>
      </c>
      <c r="L213" s="121"/>
      <c r="M213" s="121" t="s">
        <v>464</v>
      </c>
      <c r="N213" s="121"/>
      <c r="O213" s="112">
        <v>250</v>
      </c>
      <c r="P213" s="1"/>
    </row>
    <row r="214" spans="1:16" ht="12.75" x14ac:dyDescent="0.2">
      <c r="A214" s="121"/>
      <c r="B214" s="121"/>
      <c r="C214" s="121"/>
      <c r="D214" s="121"/>
      <c r="E214" s="121" t="s">
        <v>307</v>
      </c>
      <c r="F214" s="121"/>
      <c r="G214" s="122">
        <v>45369</v>
      </c>
      <c r="H214" s="121"/>
      <c r="I214" s="121" t="s">
        <v>615</v>
      </c>
      <c r="J214" s="121"/>
      <c r="K214" s="121" t="s">
        <v>358</v>
      </c>
      <c r="L214" s="121"/>
      <c r="M214" s="121" t="s">
        <v>420</v>
      </c>
      <c r="N214" s="121"/>
      <c r="O214" s="112">
        <v>250</v>
      </c>
      <c r="P214" s="1"/>
    </row>
    <row r="215" spans="1:16" ht="12.75" x14ac:dyDescent="0.2">
      <c r="A215" s="121"/>
      <c r="B215" s="121"/>
      <c r="C215" s="121"/>
      <c r="D215" s="121"/>
      <c r="E215" s="121" t="s">
        <v>307</v>
      </c>
      <c r="F215" s="121"/>
      <c r="G215" s="122">
        <v>45394</v>
      </c>
      <c r="H215" s="121"/>
      <c r="I215" s="121" t="s">
        <v>616</v>
      </c>
      <c r="J215" s="121"/>
      <c r="K215" s="121" t="s">
        <v>358</v>
      </c>
      <c r="L215" s="121"/>
      <c r="M215" s="121" t="s">
        <v>322</v>
      </c>
      <c r="N215" s="121"/>
      <c r="O215" s="112">
        <v>250</v>
      </c>
      <c r="P215" s="1"/>
    </row>
    <row r="216" spans="1:16" ht="12.75" x14ac:dyDescent="0.2">
      <c r="A216" s="121"/>
      <c r="B216" s="121"/>
      <c r="C216" s="121"/>
      <c r="D216" s="121"/>
      <c r="E216" s="121" t="s">
        <v>307</v>
      </c>
      <c r="F216" s="121"/>
      <c r="G216" s="122">
        <v>45421</v>
      </c>
      <c r="H216" s="121"/>
      <c r="I216" s="121" t="s">
        <v>617</v>
      </c>
      <c r="J216" s="121"/>
      <c r="K216" s="121" t="s">
        <v>358</v>
      </c>
      <c r="L216" s="121"/>
      <c r="M216" s="121" t="s">
        <v>311</v>
      </c>
      <c r="N216" s="121"/>
      <c r="O216" s="112">
        <v>250</v>
      </c>
      <c r="P216" s="1"/>
    </row>
    <row r="217" spans="1:16" ht="12.75" x14ac:dyDescent="0.2">
      <c r="A217" s="121"/>
      <c r="B217" s="121"/>
      <c r="C217" s="121"/>
      <c r="D217" s="121"/>
      <c r="E217" s="121" t="s">
        <v>307</v>
      </c>
      <c r="F217" s="121"/>
      <c r="G217" s="122">
        <v>45450</v>
      </c>
      <c r="H217" s="121"/>
      <c r="I217" s="121" t="s">
        <v>357</v>
      </c>
      <c r="J217" s="121"/>
      <c r="K217" s="121" t="s">
        <v>358</v>
      </c>
      <c r="L217" s="121"/>
      <c r="M217" s="121" t="s">
        <v>314</v>
      </c>
      <c r="N217" s="121"/>
      <c r="O217" s="112">
        <v>250</v>
      </c>
      <c r="P217" s="1"/>
    </row>
    <row r="218" spans="1:16" ht="12.75" x14ac:dyDescent="0.2">
      <c r="A218" s="121"/>
      <c r="B218" s="121"/>
      <c r="C218" s="121"/>
      <c r="D218" s="121"/>
      <c r="E218" s="121" t="s">
        <v>307</v>
      </c>
      <c r="F218" s="121"/>
      <c r="G218" s="122">
        <v>45526</v>
      </c>
      <c r="H218" s="121"/>
      <c r="I218" s="121" t="s">
        <v>1147</v>
      </c>
      <c r="J218" s="121"/>
      <c r="K218" s="121" t="s">
        <v>358</v>
      </c>
      <c r="L218" s="121"/>
      <c r="M218" s="121" t="s">
        <v>941</v>
      </c>
      <c r="N218" s="121"/>
      <c r="O218" s="112">
        <v>250</v>
      </c>
      <c r="P218" s="1"/>
    </row>
    <row r="219" spans="1:16" ht="12.75" x14ac:dyDescent="0.2">
      <c r="A219" s="121"/>
      <c r="B219" s="121"/>
      <c r="C219" s="121"/>
      <c r="D219" s="121"/>
      <c r="E219" s="121" t="s">
        <v>307</v>
      </c>
      <c r="F219" s="121"/>
      <c r="G219" s="122">
        <v>45309</v>
      </c>
      <c r="H219" s="121"/>
      <c r="I219" s="121" t="s">
        <v>618</v>
      </c>
      <c r="J219" s="121"/>
      <c r="K219" s="121" t="s">
        <v>360</v>
      </c>
      <c r="L219" s="121"/>
      <c r="M219" s="121" t="s">
        <v>619</v>
      </c>
      <c r="N219" s="121"/>
      <c r="O219" s="112">
        <v>1000</v>
      </c>
      <c r="P219" s="1"/>
    </row>
    <row r="220" spans="1:16" ht="12.75" x14ac:dyDescent="0.2">
      <c r="A220" s="121"/>
      <c r="B220" s="121"/>
      <c r="C220" s="121"/>
      <c r="D220" s="121"/>
      <c r="E220" s="121" t="s">
        <v>307</v>
      </c>
      <c r="F220" s="121"/>
      <c r="G220" s="122">
        <v>45342</v>
      </c>
      <c r="H220" s="121"/>
      <c r="I220" s="121" t="s">
        <v>620</v>
      </c>
      <c r="J220" s="121"/>
      <c r="K220" s="121" t="s">
        <v>360</v>
      </c>
      <c r="L220" s="121"/>
      <c r="M220" s="121" t="s">
        <v>462</v>
      </c>
      <c r="N220" s="121"/>
      <c r="O220" s="112">
        <v>500</v>
      </c>
      <c r="P220" s="1"/>
    </row>
    <row r="221" spans="1:16" ht="12.75" x14ac:dyDescent="0.2">
      <c r="A221" s="121"/>
      <c r="B221" s="121"/>
      <c r="C221" s="121"/>
      <c r="D221" s="121"/>
      <c r="E221" s="121" t="s">
        <v>307</v>
      </c>
      <c r="F221" s="121"/>
      <c r="G221" s="122">
        <v>45404</v>
      </c>
      <c r="H221" s="121"/>
      <c r="I221" s="121" t="s">
        <v>621</v>
      </c>
      <c r="J221" s="121"/>
      <c r="K221" s="121" t="s">
        <v>360</v>
      </c>
      <c r="L221" s="121"/>
      <c r="M221" s="121" t="s">
        <v>622</v>
      </c>
      <c r="N221" s="121"/>
      <c r="O221" s="112">
        <v>1500</v>
      </c>
      <c r="P221" s="1"/>
    </row>
    <row r="222" spans="1:16" ht="12.75" x14ac:dyDescent="0.2">
      <c r="A222" s="121"/>
      <c r="B222" s="121"/>
      <c r="C222" s="121"/>
      <c r="D222" s="121"/>
      <c r="E222" s="121" t="s">
        <v>307</v>
      </c>
      <c r="F222" s="121"/>
      <c r="G222" s="122">
        <v>45461</v>
      </c>
      <c r="H222" s="121"/>
      <c r="I222" s="121" t="s">
        <v>359</v>
      </c>
      <c r="J222" s="121"/>
      <c r="K222" s="121" t="s">
        <v>360</v>
      </c>
      <c r="L222" s="121"/>
      <c r="M222" s="121" t="s">
        <v>361</v>
      </c>
      <c r="N222" s="121"/>
      <c r="O222" s="112">
        <v>1000</v>
      </c>
      <c r="P222" s="1"/>
    </row>
    <row r="223" spans="1:16" ht="12.75" x14ac:dyDescent="0.2">
      <c r="A223" s="121"/>
      <c r="B223" s="121"/>
      <c r="C223" s="121"/>
      <c r="D223" s="121"/>
      <c r="E223" s="121" t="s">
        <v>307</v>
      </c>
      <c r="F223" s="121"/>
      <c r="G223" s="122">
        <v>45532</v>
      </c>
      <c r="H223" s="121"/>
      <c r="I223" s="121" t="s">
        <v>1148</v>
      </c>
      <c r="J223" s="121"/>
      <c r="K223" s="121" t="s">
        <v>360</v>
      </c>
      <c r="L223" s="121"/>
      <c r="M223" s="121" t="s">
        <v>941</v>
      </c>
      <c r="N223" s="121"/>
      <c r="O223" s="112">
        <v>500</v>
      </c>
      <c r="P223" s="1"/>
    </row>
    <row r="224" spans="1:16" ht="12.75" x14ac:dyDescent="0.2">
      <c r="A224" s="121"/>
      <c r="B224" s="121"/>
      <c r="C224" s="121"/>
      <c r="D224" s="121"/>
      <c r="E224" s="121" t="s">
        <v>307</v>
      </c>
      <c r="F224" s="121"/>
      <c r="G224" s="122">
        <v>45323</v>
      </c>
      <c r="H224" s="121"/>
      <c r="I224" s="121" t="s">
        <v>623</v>
      </c>
      <c r="J224" s="121"/>
      <c r="K224" s="121" t="s">
        <v>624</v>
      </c>
      <c r="L224" s="121"/>
      <c r="M224" s="121" t="s">
        <v>462</v>
      </c>
      <c r="N224" s="121"/>
      <c r="O224" s="112">
        <v>300</v>
      </c>
      <c r="P224" s="1"/>
    </row>
    <row r="225" spans="1:16" ht="12.75" x14ac:dyDescent="0.2">
      <c r="A225" s="121"/>
      <c r="B225" s="121"/>
      <c r="C225" s="121"/>
      <c r="D225" s="121"/>
      <c r="E225" s="121" t="s">
        <v>307</v>
      </c>
      <c r="F225" s="121"/>
      <c r="G225" s="122">
        <v>45357</v>
      </c>
      <c r="H225" s="121"/>
      <c r="I225" s="121" t="s">
        <v>625</v>
      </c>
      <c r="J225" s="121"/>
      <c r="K225" s="121" t="s">
        <v>624</v>
      </c>
      <c r="L225" s="121"/>
      <c r="M225" s="121" t="s">
        <v>464</v>
      </c>
      <c r="N225" s="121"/>
      <c r="O225" s="112">
        <v>300</v>
      </c>
      <c r="P225" s="1"/>
    </row>
    <row r="226" spans="1:16" ht="12.75" x14ac:dyDescent="0.2">
      <c r="A226" s="121"/>
      <c r="B226" s="121"/>
      <c r="C226" s="121"/>
      <c r="D226" s="121"/>
      <c r="E226" s="121" t="s">
        <v>307</v>
      </c>
      <c r="F226" s="121"/>
      <c r="G226" s="122">
        <v>45421</v>
      </c>
      <c r="H226" s="121"/>
      <c r="I226" s="121" t="s">
        <v>626</v>
      </c>
      <c r="J226" s="121"/>
      <c r="K226" s="121" t="s">
        <v>624</v>
      </c>
      <c r="L226" s="121"/>
      <c r="M226" s="121" t="s">
        <v>322</v>
      </c>
      <c r="N226" s="121"/>
      <c r="O226" s="112">
        <v>300</v>
      </c>
      <c r="P226" s="1"/>
    </row>
    <row r="227" spans="1:16" ht="12.75" x14ac:dyDescent="0.2">
      <c r="A227" s="121"/>
      <c r="B227" s="121"/>
      <c r="C227" s="121"/>
      <c r="D227" s="121"/>
      <c r="E227" s="121" t="s">
        <v>307</v>
      </c>
      <c r="F227" s="121"/>
      <c r="G227" s="122">
        <v>45443</v>
      </c>
      <c r="H227" s="121"/>
      <c r="I227" s="121" t="s">
        <v>627</v>
      </c>
      <c r="J227" s="121"/>
      <c r="K227" s="121" t="s">
        <v>624</v>
      </c>
      <c r="L227" s="121"/>
      <c r="M227" s="121" t="s">
        <v>311</v>
      </c>
      <c r="N227" s="121"/>
      <c r="O227" s="112">
        <v>300</v>
      </c>
      <c r="P227" s="1"/>
    </row>
    <row r="228" spans="1:16" ht="12.75" x14ac:dyDescent="0.2">
      <c r="A228" s="121"/>
      <c r="B228" s="121"/>
      <c r="C228" s="121"/>
      <c r="D228" s="121"/>
      <c r="E228" s="121" t="s">
        <v>307</v>
      </c>
      <c r="F228" s="121"/>
      <c r="G228" s="122">
        <v>45482</v>
      </c>
      <c r="H228" s="121"/>
      <c r="I228" s="121" t="s">
        <v>971</v>
      </c>
      <c r="J228" s="121"/>
      <c r="K228" s="121" t="s">
        <v>624</v>
      </c>
      <c r="L228" s="121"/>
      <c r="M228" s="121" t="s">
        <v>314</v>
      </c>
      <c r="N228" s="121"/>
      <c r="O228" s="112">
        <v>300</v>
      </c>
      <c r="P228" s="1"/>
    </row>
    <row r="229" spans="1:16" ht="12.75" x14ac:dyDescent="0.2">
      <c r="A229" s="121"/>
      <c r="B229" s="121"/>
      <c r="C229" s="121"/>
      <c r="D229" s="121"/>
      <c r="E229" s="121" t="s">
        <v>307</v>
      </c>
      <c r="F229" s="121"/>
      <c r="G229" s="122">
        <v>45510</v>
      </c>
      <c r="H229" s="121"/>
      <c r="I229" s="121" t="s">
        <v>1149</v>
      </c>
      <c r="J229" s="121"/>
      <c r="K229" s="121" t="s">
        <v>624</v>
      </c>
      <c r="L229" s="121"/>
      <c r="M229" s="121" t="s">
        <v>941</v>
      </c>
      <c r="N229" s="121"/>
      <c r="O229" s="112">
        <v>300</v>
      </c>
      <c r="P229" s="1"/>
    </row>
    <row r="230" spans="1:16" ht="12.75" x14ac:dyDescent="0.2">
      <c r="A230" s="121"/>
      <c r="B230" s="121"/>
      <c r="C230" s="121"/>
      <c r="D230" s="121"/>
      <c r="E230" s="121" t="s">
        <v>307</v>
      </c>
      <c r="F230" s="121"/>
      <c r="G230" s="122">
        <v>45373</v>
      </c>
      <c r="H230" s="121"/>
      <c r="I230" s="121" t="s">
        <v>628</v>
      </c>
      <c r="J230" s="121"/>
      <c r="K230" s="121" t="s">
        <v>629</v>
      </c>
      <c r="L230" s="121"/>
      <c r="M230" s="121" t="s">
        <v>505</v>
      </c>
      <c r="N230" s="121"/>
      <c r="O230" s="112">
        <v>1624.98</v>
      </c>
      <c r="P230" s="1"/>
    </row>
    <row r="231" spans="1:16" ht="12.75" x14ac:dyDescent="0.2">
      <c r="A231" s="121"/>
      <c r="B231" s="121"/>
      <c r="C231" s="121"/>
      <c r="D231" s="121"/>
      <c r="E231" s="121" t="s">
        <v>307</v>
      </c>
      <c r="F231" s="121"/>
      <c r="G231" s="122">
        <v>45313</v>
      </c>
      <c r="H231" s="121"/>
      <c r="I231" s="121" t="s">
        <v>630</v>
      </c>
      <c r="J231" s="121"/>
      <c r="K231" s="121" t="s">
        <v>631</v>
      </c>
      <c r="L231" s="121"/>
      <c r="M231" s="121" t="s">
        <v>584</v>
      </c>
      <c r="N231" s="121"/>
      <c r="O231" s="112">
        <v>750</v>
      </c>
      <c r="P231" s="1"/>
    </row>
    <row r="232" spans="1:16" ht="12.75" x14ac:dyDescent="0.2">
      <c r="A232" s="121"/>
      <c r="B232" s="121"/>
      <c r="C232" s="121"/>
      <c r="D232" s="121"/>
      <c r="E232" s="121" t="s">
        <v>307</v>
      </c>
      <c r="F232" s="121"/>
      <c r="G232" s="122">
        <v>45413</v>
      </c>
      <c r="H232" s="121"/>
      <c r="I232" s="121" t="s">
        <v>632</v>
      </c>
      <c r="J232" s="121"/>
      <c r="K232" s="121" t="s">
        <v>631</v>
      </c>
      <c r="L232" s="121"/>
      <c r="M232" s="121" t="s">
        <v>612</v>
      </c>
      <c r="N232" s="121"/>
      <c r="O232" s="112">
        <v>750</v>
      </c>
      <c r="P232" s="1"/>
    </row>
    <row r="233" spans="1:16" ht="12.75" x14ac:dyDescent="0.2">
      <c r="A233" s="121"/>
      <c r="B233" s="121"/>
      <c r="C233" s="121"/>
      <c r="D233" s="121"/>
      <c r="E233" s="121" t="s">
        <v>307</v>
      </c>
      <c r="F233" s="121"/>
      <c r="G233" s="122">
        <v>45502</v>
      </c>
      <c r="H233" s="121"/>
      <c r="I233" s="121" t="s">
        <v>972</v>
      </c>
      <c r="J233" s="121"/>
      <c r="K233" s="121" t="s">
        <v>631</v>
      </c>
      <c r="L233" s="121"/>
      <c r="M233" s="121" t="s">
        <v>973</v>
      </c>
      <c r="N233" s="121"/>
      <c r="O233" s="112">
        <v>750</v>
      </c>
      <c r="P233" s="1"/>
    </row>
    <row r="234" spans="1:16" ht="12.75" x14ac:dyDescent="0.2">
      <c r="A234" s="121"/>
      <c r="B234" s="121"/>
      <c r="C234" s="121"/>
      <c r="D234" s="121"/>
      <c r="E234" s="121" t="s">
        <v>307</v>
      </c>
      <c r="F234" s="121"/>
      <c r="G234" s="122">
        <v>45320</v>
      </c>
      <c r="H234" s="121"/>
      <c r="I234" s="121" t="s">
        <v>633</v>
      </c>
      <c r="J234" s="121"/>
      <c r="K234" s="121" t="s">
        <v>363</v>
      </c>
      <c r="L234" s="121"/>
      <c r="M234" s="121" t="s">
        <v>462</v>
      </c>
      <c r="N234" s="121"/>
      <c r="O234" s="112">
        <v>125</v>
      </c>
      <c r="P234" s="1"/>
    </row>
    <row r="235" spans="1:16" ht="12.75" x14ac:dyDescent="0.2">
      <c r="A235" s="121"/>
      <c r="B235" s="121"/>
      <c r="C235" s="121"/>
      <c r="D235" s="121"/>
      <c r="E235" s="121" t="s">
        <v>307</v>
      </c>
      <c r="F235" s="121"/>
      <c r="G235" s="122">
        <v>45357</v>
      </c>
      <c r="H235" s="121"/>
      <c r="I235" s="121" t="s">
        <v>634</v>
      </c>
      <c r="J235" s="121"/>
      <c r="K235" s="121" t="s">
        <v>363</v>
      </c>
      <c r="L235" s="121"/>
      <c r="M235" s="121" t="s">
        <v>464</v>
      </c>
      <c r="N235" s="121"/>
      <c r="O235" s="112">
        <v>125</v>
      </c>
      <c r="P235" s="1"/>
    </row>
    <row r="236" spans="1:16" ht="12.75" x14ac:dyDescent="0.2">
      <c r="A236" s="121"/>
      <c r="B236" s="121"/>
      <c r="C236" s="121"/>
      <c r="D236" s="121"/>
      <c r="E236" s="121" t="s">
        <v>307</v>
      </c>
      <c r="F236" s="121"/>
      <c r="G236" s="122">
        <v>45364</v>
      </c>
      <c r="H236" s="121"/>
      <c r="I236" s="121" t="s">
        <v>635</v>
      </c>
      <c r="J236" s="121"/>
      <c r="K236" s="121" t="s">
        <v>363</v>
      </c>
      <c r="L236" s="121"/>
      <c r="M236" s="121" t="s">
        <v>420</v>
      </c>
      <c r="N236" s="121"/>
      <c r="O236" s="112">
        <v>125</v>
      </c>
      <c r="P236" s="1"/>
    </row>
    <row r="237" spans="1:16" ht="12.75" x14ac:dyDescent="0.2">
      <c r="A237" s="121"/>
      <c r="B237" s="121"/>
      <c r="C237" s="121"/>
      <c r="D237" s="121"/>
      <c r="E237" s="121" t="s">
        <v>307</v>
      </c>
      <c r="F237" s="121"/>
      <c r="G237" s="122">
        <v>45407</v>
      </c>
      <c r="H237" s="121"/>
      <c r="I237" s="121" t="s">
        <v>636</v>
      </c>
      <c r="J237" s="121"/>
      <c r="K237" s="121" t="s">
        <v>363</v>
      </c>
      <c r="L237" s="121"/>
      <c r="M237" s="121" t="s">
        <v>322</v>
      </c>
      <c r="N237" s="121"/>
      <c r="O237" s="112">
        <v>125</v>
      </c>
      <c r="P237" s="1"/>
    </row>
    <row r="238" spans="1:16" ht="12.75" x14ac:dyDescent="0.2">
      <c r="A238" s="121"/>
      <c r="B238" s="121"/>
      <c r="C238" s="121"/>
      <c r="D238" s="121"/>
      <c r="E238" s="121" t="s">
        <v>307</v>
      </c>
      <c r="F238" s="121"/>
      <c r="G238" s="122">
        <v>45425</v>
      </c>
      <c r="H238" s="121"/>
      <c r="I238" s="121" t="s">
        <v>637</v>
      </c>
      <c r="J238" s="121"/>
      <c r="K238" s="121" t="s">
        <v>363</v>
      </c>
      <c r="L238" s="121"/>
      <c r="M238" s="121" t="s">
        <v>311</v>
      </c>
      <c r="N238" s="121"/>
      <c r="O238" s="112">
        <v>125</v>
      </c>
      <c r="P238" s="1"/>
    </row>
    <row r="239" spans="1:16" ht="12.75" x14ac:dyDescent="0.2">
      <c r="A239" s="121"/>
      <c r="B239" s="121"/>
      <c r="C239" s="121"/>
      <c r="D239" s="121"/>
      <c r="E239" s="121" t="s">
        <v>307</v>
      </c>
      <c r="F239" s="121"/>
      <c r="G239" s="122">
        <v>45470</v>
      </c>
      <c r="H239" s="121"/>
      <c r="I239" s="121" t="s">
        <v>362</v>
      </c>
      <c r="J239" s="121"/>
      <c r="K239" s="121" t="s">
        <v>363</v>
      </c>
      <c r="L239" s="121"/>
      <c r="M239" s="121" t="s">
        <v>314</v>
      </c>
      <c r="N239" s="121"/>
      <c r="O239" s="112">
        <v>125</v>
      </c>
      <c r="P239" s="1"/>
    </row>
    <row r="240" spans="1:16" ht="12.75" x14ac:dyDescent="0.2">
      <c r="A240" s="121"/>
      <c r="B240" s="121"/>
      <c r="C240" s="121"/>
      <c r="D240" s="121"/>
      <c r="E240" s="121" t="s">
        <v>307</v>
      </c>
      <c r="F240" s="121"/>
      <c r="G240" s="122">
        <v>45491</v>
      </c>
      <c r="H240" s="121"/>
      <c r="I240" s="121" t="s">
        <v>974</v>
      </c>
      <c r="J240" s="121"/>
      <c r="K240" s="121" t="s">
        <v>363</v>
      </c>
      <c r="L240" s="121"/>
      <c r="M240" s="121" t="s">
        <v>941</v>
      </c>
      <c r="N240" s="121"/>
      <c r="O240" s="112">
        <v>125</v>
      </c>
      <c r="P240" s="1"/>
    </row>
    <row r="241" spans="1:16" ht="12.75" x14ac:dyDescent="0.2">
      <c r="A241" s="121"/>
      <c r="B241" s="121"/>
      <c r="C241" s="121"/>
      <c r="D241" s="121"/>
      <c r="E241" s="121" t="s">
        <v>307</v>
      </c>
      <c r="F241" s="121"/>
      <c r="G241" s="122">
        <v>45329</v>
      </c>
      <c r="H241" s="121"/>
      <c r="I241" s="121" t="s">
        <v>638</v>
      </c>
      <c r="J241" s="121"/>
      <c r="K241" s="121" t="s">
        <v>639</v>
      </c>
      <c r="L241" s="121"/>
      <c r="M241" s="121" t="s">
        <v>640</v>
      </c>
      <c r="N241" s="121"/>
      <c r="O241" s="112">
        <v>2500</v>
      </c>
      <c r="P241" s="1"/>
    </row>
    <row r="242" spans="1:16" ht="12.75" x14ac:dyDescent="0.2">
      <c r="A242" s="121"/>
      <c r="B242" s="121"/>
      <c r="C242" s="121"/>
      <c r="D242" s="121"/>
      <c r="E242" s="121" t="s">
        <v>307</v>
      </c>
      <c r="F242" s="121"/>
      <c r="G242" s="122">
        <v>45427</v>
      </c>
      <c r="H242" s="121"/>
      <c r="I242" s="121" t="s">
        <v>641</v>
      </c>
      <c r="J242" s="121"/>
      <c r="K242" s="121" t="s">
        <v>639</v>
      </c>
      <c r="L242" s="121"/>
      <c r="M242" s="121" t="s">
        <v>612</v>
      </c>
      <c r="N242" s="121"/>
      <c r="O242" s="112">
        <v>2500</v>
      </c>
      <c r="P242" s="1"/>
    </row>
    <row r="243" spans="1:16" ht="12.75" x14ac:dyDescent="0.2">
      <c r="A243" s="121"/>
      <c r="B243" s="121"/>
      <c r="C243" s="121"/>
      <c r="D243" s="121"/>
      <c r="E243" s="121" t="s">
        <v>307</v>
      </c>
      <c r="F243" s="121"/>
      <c r="G243" s="122">
        <v>45513</v>
      </c>
      <c r="H243" s="121"/>
      <c r="I243" s="121" t="s">
        <v>1150</v>
      </c>
      <c r="J243" s="121"/>
      <c r="K243" s="121" t="s">
        <v>639</v>
      </c>
      <c r="L243" s="121"/>
      <c r="M243" s="121" t="s">
        <v>1151</v>
      </c>
      <c r="N243" s="121"/>
      <c r="O243" s="112">
        <v>2500</v>
      </c>
      <c r="P243" s="1"/>
    </row>
    <row r="244" spans="1:16" ht="12.75" x14ac:dyDescent="0.2">
      <c r="A244" s="121"/>
      <c r="B244" s="121"/>
      <c r="C244" s="121"/>
      <c r="D244" s="121"/>
      <c r="E244" s="121" t="s">
        <v>307</v>
      </c>
      <c r="F244" s="121"/>
      <c r="G244" s="122">
        <v>45350</v>
      </c>
      <c r="H244" s="121"/>
      <c r="I244" s="121" t="s">
        <v>642</v>
      </c>
      <c r="J244" s="121"/>
      <c r="K244" s="121" t="s">
        <v>365</v>
      </c>
      <c r="L244" s="121"/>
      <c r="M244" s="121" t="s">
        <v>589</v>
      </c>
      <c r="N244" s="121"/>
      <c r="O244" s="112">
        <v>1600</v>
      </c>
      <c r="P244" s="1"/>
    </row>
    <row r="245" spans="1:16" ht="12.75" x14ac:dyDescent="0.2">
      <c r="A245" s="121"/>
      <c r="B245" s="121"/>
      <c r="C245" s="121"/>
      <c r="D245" s="121"/>
      <c r="E245" s="121" t="s">
        <v>307</v>
      </c>
      <c r="F245" s="121"/>
      <c r="G245" s="122">
        <v>45369</v>
      </c>
      <c r="H245" s="121"/>
      <c r="I245" s="121" t="s">
        <v>643</v>
      </c>
      <c r="J245" s="121"/>
      <c r="K245" s="121" t="s">
        <v>365</v>
      </c>
      <c r="L245" s="121"/>
      <c r="M245" s="121" t="s">
        <v>420</v>
      </c>
      <c r="N245" s="121"/>
      <c r="O245" s="112">
        <v>800</v>
      </c>
      <c r="P245" s="1"/>
    </row>
    <row r="246" spans="1:16" ht="12.75" x14ac:dyDescent="0.2">
      <c r="A246" s="121"/>
      <c r="B246" s="121"/>
      <c r="C246" s="121"/>
      <c r="D246" s="121"/>
      <c r="E246" s="121" t="s">
        <v>307</v>
      </c>
      <c r="F246" s="121"/>
      <c r="G246" s="122">
        <v>45397</v>
      </c>
      <c r="H246" s="121"/>
      <c r="I246" s="121" t="s">
        <v>644</v>
      </c>
      <c r="J246" s="121"/>
      <c r="K246" s="121" t="s">
        <v>365</v>
      </c>
      <c r="L246" s="121"/>
      <c r="M246" s="121" t="s">
        <v>322</v>
      </c>
      <c r="N246" s="121"/>
      <c r="O246" s="112">
        <v>800</v>
      </c>
      <c r="P246" s="1"/>
    </row>
    <row r="247" spans="1:16" ht="12.75" x14ac:dyDescent="0.2">
      <c r="A247" s="121"/>
      <c r="B247" s="121"/>
      <c r="C247" s="121"/>
      <c r="D247" s="121"/>
      <c r="E247" s="121" t="s">
        <v>307</v>
      </c>
      <c r="F247" s="121"/>
      <c r="G247" s="122">
        <v>45454</v>
      </c>
      <c r="H247" s="121"/>
      <c r="I247" s="121" t="s">
        <v>364</v>
      </c>
      <c r="J247" s="121"/>
      <c r="K247" s="121" t="s">
        <v>365</v>
      </c>
      <c r="L247" s="121"/>
      <c r="M247" s="121" t="s">
        <v>311</v>
      </c>
      <c r="N247" s="121"/>
      <c r="O247" s="112">
        <v>800</v>
      </c>
      <c r="P247" s="1"/>
    </row>
    <row r="248" spans="1:16" ht="12.75" x14ac:dyDescent="0.2">
      <c r="A248" s="121"/>
      <c r="B248" s="121"/>
      <c r="C248" s="121"/>
      <c r="D248" s="121"/>
      <c r="E248" s="121" t="s">
        <v>307</v>
      </c>
      <c r="F248" s="121"/>
      <c r="G248" s="122">
        <v>45456</v>
      </c>
      <c r="H248" s="121"/>
      <c r="I248" s="121" t="s">
        <v>366</v>
      </c>
      <c r="J248" s="121"/>
      <c r="K248" s="121" t="s">
        <v>365</v>
      </c>
      <c r="L248" s="121"/>
      <c r="M248" s="121" t="s">
        <v>314</v>
      </c>
      <c r="N248" s="121"/>
      <c r="O248" s="112">
        <v>800</v>
      </c>
      <c r="P248" s="1"/>
    </row>
    <row r="249" spans="1:16" ht="12.75" x14ac:dyDescent="0.2">
      <c r="A249" s="121"/>
      <c r="B249" s="121"/>
      <c r="C249" s="121"/>
      <c r="D249" s="121"/>
      <c r="E249" s="121" t="s">
        <v>307</v>
      </c>
      <c r="F249" s="121"/>
      <c r="G249" s="122">
        <v>45483</v>
      </c>
      <c r="H249" s="121"/>
      <c r="I249" s="121" t="s">
        <v>975</v>
      </c>
      <c r="J249" s="121"/>
      <c r="K249" s="121" t="s">
        <v>365</v>
      </c>
      <c r="L249" s="121"/>
      <c r="M249" s="121" t="s">
        <v>941</v>
      </c>
      <c r="N249" s="121"/>
      <c r="O249" s="112">
        <v>800</v>
      </c>
      <c r="P249" s="1"/>
    </row>
    <row r="250" spans="1:16" ht="12.75" x14ac:dyDescent="0.2">
      <c r="A250" s="121"/>
      <c r="B250" s="121"/>
      <c r="C250" s="121"/>
      <c r="D250" s="121"/>
      <c r="E250" s="121" t="s">
        <v>307</v>
      </c>
      <c r="F250" s="121"/>
      <c r="G250" s="122">
        <v>45517</v>
      </c>
      <c r="H250" s="121"/>
      <c r="I250" s="121" t="s">
        <v>1152</v>
      </c>
      <c r="J250" s="121"/>
      <c r="K250" s="121" t="s">
        <v>365</v>
      </c>
      <c r="L250" s="121"/>
      <c r="M250" s="121" t="s">
        <v>970</v>
      </c>
      <c r="N250" s="121"/>
      <c r="O250" s="112">
        <v>800</v>
      </c>
      <c r="P250" s="1"/>
    </row>
    <row r="251" spans="1:16" ht="12.75" x14ac:dyDescent="0.2">
      <c r="A251" s="121"/>
      <c r="B251" s="121"/>
      <c r="C251" s="121"/>
      <c r="D251" s="121"/>
      <c r="E251" s="121" t="s">
        <v>307</v>
      </c>
      <c r="F251" s="121"/>
      <c r="G251" s="122">
        <v>45349</v>
      </c>
      <c r="H251" s="121"/>
      <c r="I251" s="121" t="s">
        <v>645</v>
      </c>
      <c r="J251" s="121"/>
      <c r="K251" s="121" t="s">
        <v>646</v>
      </c>
      <c r="L251" s="121"/>
      <c r="M251" s="121" t="s">
        <v>497</v>
      </c>
      <c r="N251" s="121"/>
      <c r="O251" s="112">
        <v>2500</v>
      </c>
      <c r="P251" s="1"/>
    </row>
    <row r="252" spans="1:16" ht="12.75" x14ac:dyDescent="0.2">
      <c r="A252" s="121"/>
      <c r="B252" s="121"/>
      <c r="C252" s="121"/>
      <c r="D252" s="121"/>
      <c r="E252" s="121" t="s">
        <v>307</v>
      </c>
      <c r="F252" s="121"/>
      <c r="G252" s="122">
        <v>45313</v>
      </c>
      <c r="H252" s="121"/>
      <c r="I252" s="121" t="s">
        <v>647</v>
      </c>
      <c r="J252" s="121"/>
      <c r="K252" s="121" t="s">
        <v>368</v>
      </c>
      <c r="L252" s="121"/>
      <c r="M252" s="121" t="s">
        <v>482</v>
      </c>
      <c r="N252" s="121"/>
      <c r="O252" s="112">
        <v>1500</v>
      </c>
      <c r="P252" s="1"/>
    </row>
    <row r="253" spans="1:16" ht="12.75" x14ac:dyDescent="0.2">
      <c r="A253" s="121"/>
      <c r="B253" s="121"/>
      <c r="C253" s="121"/>
      <c r="D253" s="121"/>
      <c r="E253" s="121" t="s">
        <v>307</v>
      </c>
      <c r="F253" s="121"/>
      <c r="G253" s="122">
        <v>45363</v>
      </c>
      <c r="H253" s="121"/>
      <c r="I253" s="121" t="s">
        <v>648</v>
      </c>
      <c r="J253" s="121"/>
      <c r="K253" s="121" t="s">
        <v>368</v>
      </c>
      <c r="L253" s="121"/>
      <c r="M253" s="121" t="s">
        <v>464</v>
      </c>
      <c r="N253" s="121"/>
      <c r="O253" s="112">
        <v>1500</v>
      </c>
      <c r="P253" s="1"/>
    </row>
    <row r="254" spans="1:16" ht="12.75" x14ac:dyDescent="0.2">
      <c r="A254" s="121"/>
      <c r="B254" s="121"/>
      <c r="C254" s="121"/>
      <c r="D254" s="121"/>
      <c r="E254" s="121" t="s">
        <v>307</v>
      </c>
      <c r="F254" s="121"/>
      <c r="G254" s="122">
        <v>45330</v>
      </c>
      <c r="H254" s="121"/>
      <c r="I254" s="121" t="s">
        <v>649</v>
      </c>
      <c r="J254" s="121"/>
      <c r="K254" s="121" t="s">
        <v>368</v>
      </c>
      <c r="L254" s="121"/>
      <c r="M254" s="121" t="s">
        <v>462</v>
      </c>
      <c r="N254" s="121"/>
      <c r="O254" s="112">
        <v>1500</v>
      </c>
      <c r="P254" s="1"/>
    </row>
    <row r="255" spans="1:16" ht="12.75" x14ac:dyDescent="0.2">
      <c r="A255" s="121"/>
      <c r="B255" s="121"/>
      <c r="C255" s="121"/>
      <c r="D255" s="121"/>
      <c r="E255" s="121" t="s">
        <v>307</v>
      </c>
      <c r="F255" s="121"/>
      <c r="G255" s="122">
        <v>45391</v>
      </c>
      <c r="H255" s="121"/>
      <c r="I255" s="121" t="s">
        <v>650</v>
      </c>
      <c r="J255" s="121"/>
      <c r="K255" s="121" t="s">
        <v>368</v>
      </c>
      <c r="L255" s="121"/>
      <c r="M255" s="121" t="s">
        <v>420</v>
      </c>
      <c r="N255" s="121"/>
      <c r="O255" s="112">
        <v>1500</v>
      </c>
      <c r="P255" s="1"/>
    </row>
    <row r="256" spans="1:16" ht="12.75" x14ac:dyDescent="0.2">
      <c r="A256" s="121"/>
      <c r="B256" s="121"/>
      <c r="C256" s="121"/>
      <c r="D256" s="121"/>
      <c r="E256" s="121" t="s">
        <v>307</v>
      </c>
      <c r="F256" s="121"/>
      <c r="G256" s="122">
        <v>45418</v>
      </c>
      <c r="H256" s="121"/>
      <c r="I256" s="121" t="s">
        <v>651</v>
      </c>
      <c r="J256" s="121"/>
      <c r="K256" s="121" t="s">
        <v>368</v>
      </c>
      <c r="L256" s="121"/>
      <c r="M256" s="121" t="s">
        <v>322</v>
      </c>
      <c r="N256" s="121"/>
      <c r="O256" s="112">
        <v>1500</v>
      </c>
      <c r="P256" s="1"/>
    </row>
    <row r="257" spans="1:16" ht="12.75" x14ac:dyDescent="0.2">
      <c r="A257" s="121"/>
      <c r="B257" s="121"/>
      <c r="C257" s="121"/>
      <c r="D257" s="121"/>
      <c r="E257" s="121" t="s">
        <v>307</v>
      </c>
      <c r="F257" s="121"/>
      <c r="G257" s="122">
        <v>45450</v>
      </c>
      <c r="H257" s="121"/>
      <c r="I257" s="121" t="s">
        <v>367</v>
      </c>
      <c r="J257" s="121"/>
      <c r="K257" s="121" t="s">
        <v>368</v>
      </c>
      <c r="L257" s="121"/>
      <c r="M257" s="121" t="s">
        <v>311</v>
      </c>
      <c r="N257" s="121"/>
      <c r="O257" s="112">
        <v>1500</v>
      </c>
      <c r="P257" s="1"/>
    </row>
    <row r="258" spans="1:16" ht="12.75" x14ac:dyDescent="0.2">
      <c r="A258" s="121"/>
      <c r="B258" s="121"/>
      <c r="C258" s="121"/>
      <c r="D258" s="121"/>
      <c r="E258" s="121" t="s">
        <v>307</v>
      </c>
      <c r="F258" s="121"/>
      <c r="G258" s="122">
        <v>45482</v>
      </c>
      <c r="H258" s="121"/>
      <c r="I258" s="121" t="s">
        <v>976</v>
      </c>
      <c r="J258" s="121"/>
      <c r="K258" s="121" t="s">
        <v>368</v>
      </c>
      <c r="L258" s="121"/>
      <c r="M258" s="121" t="s">
        <v>314</v>
      </c>
      <c r="N258" s="121"/>
      <c r="O258" s="112">
        <v>1500</v>
      </c>
      <c r="P258" s="1"/>
    </row>
    <row r="259" spans="1:16" ht="12.75" x14ac:dyDescent="0.2">
      <c r="A259" s="121"/>
      <c r="B259" s="121"/>
      <c r="C259" s="121"/>
      <c r="D259" s="121"/>
      <c r="E259" s="121" t="s">
        <v>307</v>
      </c>
      <c r="F259" s="121"/>
      <c r="G259" s="122">
        <v>45512</v>
      </c>
      <c r="H259" s="121"/>
      <c r="I259" s="121" t="s">
        <v>1153</v>
      </c>
      <c r="J259" s="121"/>
      <c r="K259" s="121" t="s">
        <v>368</v>
      </c>
      <c r="L259" s="121"/>
      <c r="M259" s="121" t="s">
        <v>941</v>
      </c>
      <c r="N259" s="121"/>
      <c r="O259" s="112">
        <v>1500</v>
      </c>
      <c r="P259" s="1"/>
    </row>
    <row r="260" spans="1:16" ht="12.75" x14ac:dyDescent="0.2">
      <c r="A260" s="121"/>
      <c r="B260" s="121"/>
      <c r="C260" s="121"/>
      <c r="D260" s="121"/>
      <c r="E260" s="121" t="s">
        <v>307</v>
      </c>
      <c r="F260" s="121"/>
      <c r="G260" s="122">
        <v>45309</v>
      </c>
      <c r="H260" s="121"/>
      <c r="I260" s="121" t="s">
        <v>652</v>
      </c>
      <c r="J260" s="121"/>
      <c r="K260" s="121" t="s">
        <v>370</v>
      </c>
      <c r="L260" s="121"/>
      <c r="M260" s="121" t="s">
        <v>462</v>
      </c>
      <c r="N260" s="121"/>
      <c r="O260" s="112">
        <v>2083.34</v>
      </c>
      <c r="P260" s="1"/>
    </row>
    <row r="261" spans="1:16" ht="12.75" x14ac:dyDescent="0.2">
      <c r="A261" s="121"/>
      <c r="B261" s="121"/>
      <c r="C261" s="121"/>
      <c r="D261" s="121"/>
      <c r="E261" s="121" t="s">
        <v>307</v>
      </c>
      <c r="F261" s="121"/>
      <c r="G261" s="122">
        <v>45334</v>
      </c>
      <c r="H261" s="121"/>
      <c r="I261" s="121" t="s">
        <v>653</v>
      </c>
      <c r="J261" s="121"/>
      <c r="K261" s="121" t="s">
        <v>370</v>
      </c>
      <c r="L261" s="121"/>
      <c r="M261" s="121" t="s">
        <v>464</v>
      </c>
      <c r="N261" s="121"/>
      <c r="O261" s="112">
        <v>2083.34</v>
      </c>
      <c r="P261" s="1"/>
    </row>
    <row r="262" spans="1:16" ht="12.75" x14ac:dyDescent="0.2">
      <c r="A262" s="121"/>
      <c r="B262" s="121"/>
      <c r="C262" s="121"/>
      <c r="D262" s="121"/>
      <c r="E262" s="121" t="s">
        <v>307</v>
      </c>
      <c r="F262" s="121"/>
      <c r="G262" s="122">
        <v>45357</v>
      </c>
      <c r="H262" s="121"/>
      <c r="I262" s="121" t="s">
        <v>654</v>
      </c>
      <c r="J262" s="121"/>
      <c r="K262" s="121" t="s">
        <v>370</v>
      </c>
      <c r="L262" s="121"/>
      <c r="M262" s="121" t="s">
        <v>420</v>
      </c>
      <c r="N262" s="121"/>
      <c r="O262" s="112">
        <v>2083.34</v>
      </c>
      <c r="P262" s="1"/>
    </row>
    <row r="263" spans="1:16" ht="12.75" x14ac:dyDescent="0.2">
      <c r="A263" s="121"/>
      <c r="B263" s="121"/>
      <c r="C263" s="121"/>
      <c r="D263" s="121"/>
      <c r="E263" s="121" t="s">
        <v>307</v>
      </c>
      <c r="F263" s="121"/>
      <c r="G263" s="122">
        <v>45391</v>
      </c>
      <c r="H263" s="121"/>
      <c r="I263" s="121" t="s">
        <v>655</v>
      </c>
      <c r="J263" s="121"/>
      <c r="K263" s="121" t="s">
        <v>370</v>
      </c>
      <c r="L263" s="121"/>
      <c r="M263" s="121" t="s">
        <v>322</v>
      </c>
      <c r="N263" s="121"/>
      <c r="O263" s="112">
        <v>2083.34</v>
      </c>
      <c r="P263" s="1"/>
    </row>
    <row r="264" spans="1:16" ht="12.75" x14ac:dyDescent="0.2">
      <c r="A264" s="121"/>
      <c r="B264" s="121"/>
      <c r="C264" s="121"/>
      <c r="D264" s="121"/>
      <c r="E264" s="121" t="s">
        <v>307</v>
      </c>
      <c r="F264" s="121"/>
      <c r="G264" s="122">
        <v>45427</v>
      </c>
      <c r="H264" s="121"/>
      <c r="I264" s="121" t="s">
        <v>656</v>
      </c>
      <c r="J264" s="121"/>
      <c r="K264" s="121" t="s">
        <v>370</v>
      </c>
      <c r="L264" s="121"/>
      <c r="M264" s="121" t="s">
        <v>311</v>
      </c>
      <c r="N264" s="121"/>
      <c r="O264" s="112">
        <v>2083.34</v>
      </c>
      <c r="P264" s="1"/>
    </row>
    <row r="265" spans="1:16" ht="12.75" x14ac:dyDescent="0.2">
      <c r="A265" s="121"/>
      <c r="B265" s="121"/>
      <c r="C265" s="121"/>
      <c r="D265" s="121"/>
      <c r="E265" s="121" t="s">
        <v>307</v>
      </c>
      <c r="F265" s="121"/>
      <c r="G265" s="122">
        <v>45455</v>
      </c>
      <c r="H265" s="121"/>
      <c r="I265" s="121" t="s">
        <v>369</v>
      </c>
      <c r="J265" s="121"/>
      <c r="K265" s="121" t="s">
        <v>370</v>
      </c>
      <c r="L265" s="121"/>
      <c r="M265" s="121" t="s">
        <v>314</v>
      </c>
      <c r="N265" s="121"/>
      <c r="O265" s="112">
        <v>2083.34</v>
      </c>
      <c r="P265" s="1"/>
    </row>
    <row r="266" spans="1:16" ht="12.75" x14ac:dyDescent="0.2">
      <c r="A266" s="121"/>
      <c r="B266" s="121"/>
      <c r="C266" s="121"/>
      <c r="D266" s="121"/>
      <c r="E266" s="121" t="s">
        <v>307</v>
      </c>
      <c r="F266" s="121"/>
      <c r="G266" s="122">
        <v>45491</v>
      </c>
      <c r="H266" s="121"/>
      <c r="I266" s="121" t="s">
        <v>977</v>
      </c>
      <c r="J266" s="121"/>
      <c r="K266" s="121" t="s">
        <v>370</v>
      </c>
      <c r="L266" s="121"/>
      <c r="M266" s="121" t="s">
        <v>941</v>
      </c>
      <c r="N266" s="121"/>
      <c r="O266" s="112">
        <v>2083.34</v>
      </c>
      <c r="P266" s="1"/>
    </row>
    <row r="267" spans="1:16" ht="12.75" x14ac:dyDescent="0.2">
      <c r="A267" s="121"/>
      <c r="B267" s="121"/>
      <c r="C267" s="121"/>
      <c r="D267" s="121"/>
      <c r="E267" s="121" t="s">
        <v>307</v>
      </c>
      <c r="F267" s="121"/>
      <c r="G267" s="122">
        <v>45512</v>
      </c>
      <c r="H267" s="121"/>
      <c r="I267" s="121" t="s">
        <v>1154</v>
      </c>
      <c r="J267" s="121"/>
      <c r="K267" s="121" t="s">
        <v>370</v>
      </c>
      <c r="L267" s="121"/>
      <c r="M267" s="121" t="s">
        <v>970</v>
      </c>
      <c r="N267" s="121"/>
      <c r="O267" s="112">
        <v>2083.34</v>
      </c>
      <c r="P267" s="1"/>
    </row>
    <row r="268" spans="1:16" ht="12.75" x14ac:dyDescent="0.2">
      <c r="A268" s="121"/>
      <c r="B268" s="121"/>
      <c r="C268" s="121"/>
      <c r="D268" s="121"/>
      <c r="E268" s="121" t="s">
        <v>307</v>
      </c>
      <c r="F268" s="121"/>
      <c r="G268" s="122">
        <v>45300</v>
      </c>
      <c r="H268" s="121"/>
      <c r="I268" s="121" t="s">
        <v>657</v>
      </c>
      <c r="J268" s="121"/>
      <c r="K268" s="121" t="s">
        <v>372</v>
      </c>
      <c r="L268" s="121"/>
      <c r="M268" s="121" t="s">
        <v>462</v>
      </c>
      <c r="N268" s="121"/>
      <c r="O268" s="112">
        <v>1200</v>
      </c>
      <c r="P268" s="1"/>
    </row>
    <row r="269" spans="1:16" ht="12.75" x14ac:dyDescent="0.2">
      <c r="A269" s="121"/>
      <c r="B269" s="121"/>
      <c r="C269" s="121"/>
      <c r="D269" s="121"/>
      <c r="E269" s="121" t="s">
        <v>307</v>
      </c>
      <c r="F269" s="121"/>
      <c r="G269" s="122">
        <v>45338</v>
      </c>
      <c r="H269" s="121"/>
      <c r="I269" s="121" t="s">
        <v>658</v>
      </c>
      <c r="J269" s="121"/>
      <c r="K269" s="121" t="s">
        <v>372</v>
      </c>
      <c r="L269" s="121"/>
      <c r="M269" s="121" t="s">
        <v>464</v>
      </c>
      <c r="N269" s="121"/>
      <c r="O269" s="112">
        <v>1200</v>
      </c>
      <c r="P269" s="1"/>
    </row>
    <row r="270" spans="1:16" ht="12.75" x14ac:dyDescent="0.2">
      <c r="A270" s="121"/>
      <c r="B270" s="121"/>
      <c r="C270" s="121"/>
      <c r="D270" s="121"/>
      <c r="E270" s="121" t="s">
        <v>307</v>
      </c>
      <c r="F270" s="121"/>
      <c r="G270" s="122">
        <v>45363</v>
      </c>
      <c r="H270" s="121"/>
      <c r="I270" s="121" t="s">
        <v>659</v>
      </c>
      <c r="J270" s="121"/>
      <c r="K270" s="121" t="s">
        <v>372</v>
      </c>
      <c r="L270" s="121"/>
      <c r="M270" s="121" t="s">
        <v>420</v>
      </c>
      <c r="N270" s="121"/>
      <c r="O270" s="112">
        <v>1200</v>
      </c>
      <c r="P270" s="1"/>
    </row>
    <row r="271" spans="1:16" ht="12.75" x14ac:dyDescent="0.2">
      <c r="A271" s="121"/>
      <c r="B271" s="121"/>
      <c r="C271" s="121"/>
      <c r="D271" s="121"/>
      <c r="E271" s="121" t="s">
        <v>307</v>
      </c>
      <c r="F271" s="121"/>
      <c r="G271" s="122">
        <v>45425</v>
      </c>
      <c r="H271" s="121"/>
      <c r="I271" s="121" t="s">
        <v>660</v>
      </c>
      <c r="J271" s="121"/>
      <c r="K271" s="121" t="s">
        <v>372</v>
      </c>
      <c r="L271" s="121"/>
      <c r="M271" s="121" t="s">
        <v>322</v>
      </c>
      <c r="N271" s="121"/>
      <c r="O271" s="112">
        <v>1200</v>
      </c>
      <c r="P271" s="1"/>
    </row>
    <row r="272" spans="1:16" ht="12.75" x14ac:dyDescent="0.2">
      <c r="A272" s="121"/>
      <c r="B272" s="121"/>
      <c r="C272" s="121"/>
      <c r="D272" s="121"/>
      <c r="E272" s="121" t="s">
        <v>307</v>
      </c>
      <c r="F272" s="121"/>
      <c r="G272" s="122">
        <v>45425</v>
      </c>
      <c r="H272" s="121"/>
      <c r="I272" s="121" t="s">
        <v>661</v>
      </c>
      <c r="J272" s="121"/>
      <c r="K272" s="121" t="s">
        <v>372</v>
      </c>
      <c r="L272" s="121"/>
      <c r="M272" s="121" t="s">
        <v>311</v>
      </c>
      <c r="N272" s="121"/>
      <c r="O272" s="112">
        <v>1200</v>
      </c>
      <c r="P272" s="1"/>
    </row>
    <row r="273" spans="1:16" ht="12.75" x14ac:dyDescent="0.2">
      <c r="A273" s="121"/>
      <c r="B273" s="121"/>
      <c r="C273" s="121"/>
      <c r="D273" s="121"/>
      <c r="E273" s="121" t="s">
        <v>307</v>
      </c>
      <c r="F273" s="121"/>
      <c r="G273" s="122">
        <v>45457</v>
      </c>
      <c r="H273" s="121"/>
      <c r="I273" s="121" t="s">
        <v>371</v>
      </c>
      <c r="J273" s="121"/>
      <c r="K273" s="121" t="s">
        <v>372</v>
      </c>
      <c r="L273" s="121"/>
      <c r="M273" s="121" t="s">
        <v>314</v>
      </c>
      <c r="N273" s="121"/>
      <c r="O273" s="112">
        <v>1200</v>
      </c>
      <c r="P273" s="1"/>
    </row>
    <row r="274" spans="1:16" ht="12.75" x14ac:dyDescent="0.2">
      <c r="A274" s="121"/>
      <c r="B274" s="121"/>
      <c r="C274" s="121"/>
      <c r="D274" s="121"/>
      <c r="E274" s="121" t="s">
        <v>307</v>
      </c>
      <c r="F274" s="121"/>
      <c r="G274" s="122">
        <v>45484</v>
      </c>
      <c r="H274" s="121"/>
      <c r="I274" s="121" t="s">
        <v>978</v>
      </c>
      <c r="J274" s="121"/>
      <c r="K274" s="121" t="s">
        <v>372</v>
      </c>
      <c r="L274" s="121"/>
      <c r="M274" s="121" t="s">
        <v>941</v>
      </c>
      <c r="N274" s="121"/>
      <c r="O274" s="112">
        <v>1200</v>
      </c>
      <c r="P274" s="1"/>
    </row>
    <row r="275" spans="1:16" ht="12.75" x14ac:dyDescent="0.2">
      <c r="A275" s="121"/>
      <c r="B275" s="121"/>
      <c r="C275" s="121"/>
      <c r="D275" s="121"/>
      <c r="E275" s="121" t="s">
        <v>307</v>
      </c>
      <c r="F275" s="121"/>
      <c r="G275" s="122">
        <v>45517</v>
      </c>
      <c r="H275" s="121"/>
      <c r="I275" s="121" t="s">
        <v>1155</v>
      </c>
      <c r="J275" s="121"/>
      <c r="K275" s="121" t="s">
        <v>372</v>
      </c>
      <c r="L275" s="121"/>
      <c r="M275" s="121" t="s">
        <v>970</v>
      </c>
      <c r="N275" s="121"/>
      <c r="O275" s="112">
        <v>1200</v>
      </c>
      <c r="P275" s="1"/>
    </row>
    <row r="276" spans="1:16" ht="12.75" x14ac:dyDescent="0.2">
      <c r="A276" s="121"/>
      <c r="B276" s="121"/>
      <c r="C276" s="121"/>
      <c r="D276" s="121"/>
      <c r="E276" s="121" t="s">
        <v>307</v>
      </c>
      <c r="F276" s="121"/>
      <c r="G276" s="122">
        <v>45316</v>
      </c>
      <c r="H276" s="121"/>
      <c r="I276" s="121" t="s">
        <v>662</v>
      </c>
      <c r="J276" s="121"/>
      <c r="K276" s="121" t="s">
        <v>374</v>
      </c>
      <c r="L276" s="121"/>
      <c r="M276" s="121" t="s">
        <v>462</v>
      </c>
      <c r="N276" s="121"/>
      <c r="O276" s="112">
        <v>416.67</v>
      </c>
      <c r="P276" s="1"/>
    </row>
    <row r="277" spans="1:16" ht="12.75" x14ac:dyDescent="0.2">
      <c r="A277" s="121"/>
      <c r="B277" s="121"/>
      <c r="C277" s="121"/>
      <c r="D277" s="121"/>
      <c r="E277" s="121" t="s">
        <v>307</v>
      </c>
      <c r="F277" s="121"/>
      <c r="G277" s="122">
        <v>45350</v>
      </c>
      <c r="H277" s="121"/>
      <c r="I277" s="121" t="s">
        <v>663</v>
      </c>
      <c r="J277" s="121"/>
      <c r="K277" s="121" t="s">
        <v>374</v>
      </c>
      <c r="L277" s="121"/>
      <c r="M277" s="121" t="s">
        <v>664</v>
      </c>
      <c r="N277" s="121"/>
      <c r="O277" s="112">
        <v>833.34</v>
      </c>
      <c r="P277" s="1"/>
    </row>
    <row r="278" spans="1:16" ht="12.75" x14ac:dyDescent="0.2">
      <c r="A278" s="121"/>
      <c r="B278" s="121"/>
      <c r="C278" s="121"/>
      <c r="D278" s="121"/>
      <c r="E278" s="121" t="s">
        <v>307</v>
      </c>
      <c r="F278" s="121"/>
      <c r="G278" s="122">
        <v>45394</v>
      </c>
      <c r="H278" s="121"/>
      <c r="I278" s="121" t="s">
        <v>665</v>
      </c>
      <c r="J278" s="121"/>
      <c r="K278" s="121" t="s">
        <v>374</v>
      </c>
      <c r="L278" s="121"/>
      <c r="M278" s="121" t="s">
        <v>322</v>
      </c>
      <c r="N278" s="121"/>
      <c r="O278" s="112">
        <v>416.67</v>
      </c>
      <c r="P278" s="1"/>
    </row>
    <row r="279" spans="1:16" ht="12.75" x14ac:dyDescent="0.2">
      <c r="A279" s="121"/>
      <c r="B279" s="121"/>
      <c r="C279" s="121"/>
      <c r="D279" s="121"/>
      <c r="E279" s="121" t="s">
        <v>307</v>
      </c>
      <c r="F279" s="121"/>
      <c r="G279" s="122">
        <v>45425</v>
      </c>
      <c r="H279" s="121"/>
      <c r="I279" s="121" t="s">
        <v>666</v>
      </c>
      <c r="J279" s="121"/>
      <c r="K279" s="121" t="s">
        <v>374</v>
      </c>
      <c r="L279" s="121"/>
      <c r="M279" s="121" t="s">
        <v>311</v>
      </c>
      <c r="N279" s="121"/>
      <c r="O279" s="112">
        <v>416.67</v>
      </c>
      <c r="P279" s="1"/>
    </row>
    <row r="280" spans="1:16" ht="12.75" x14ac:dyDescent="0.2">
      <c r="A280" s="121"/>
      <c r="B280" s="121"/>
      <c r="C280" s="121"/>
      <c r="D280" s="121"/>
      <c r="E280" s="121" t="s">
        <v>307</v>
      </c>
      <c r="F280" s="121"/>
      <c r="G280" s="122">
        <v>45455</v>
      </c>
      <c r="H280" s="121"/>
      <c r="I280" s="121" t="s">
        <v>373</v>
      </c>
      <c r="J280" s="121"/>
      <c r="K280" s="121" t="s">
        <v>374</v>
      </c>
      <c r="L280" s="121"/>
      <c r="M280" s="121" t="s">
        <v>314</v>
      </c>
      <c r="N280" s="121"/>
      <c r="O280" s="112">
        <v>416.67</v>
      </c>
      <c r="P280" s="1"/>
    </row>
    <row r="281" spans="1:16" ht="12.75" x14ac:dyDescent="0.2">
      <c r="A281" s="121"/>
      <c r="B281" s="121"/>
      <c r="C281" s="121"/>
      <c r="D281" s="121"/>
      <c r="E281" s="121" t="s">
        <v>307</v>
      </c>
      <c r="F281" s="121"/>
      <c r="G281" s="122">
        <v>45489</v>
      </c>
      <c r="H281" s="121"/>
      <c r="I281" s="121" t="s">
        <v>979</v>
      </c>
      <c r="J281" s="121"/>
      <c r="K281" s="121" t="s">
        <v>374</v>
      </c>
      <c r="L281" s="121"/>
      <c r="M281" s="121" t="s">
        <v>941</v>
      </c>
      <c r="N281" s="121"/>
      <c r="O281" s="112">
        <v>416.67</v>
      </c>
      <c r="P281" s="1"/>
    </row>
    <row r="282" spans="1:16" ht="12.75" x14ac:dyDescent="0.2">
      <c r="A282" s="121"/>
      <c r="B282" s="121"/>
      <c r="C282" s="121"/>
      <c r="D282" s="121"/>
      <c r="E282" s="121" t="s">
        <v>307</v>
      </c>
      <c r="F282" s="121"/>
      <c r="G282" s="122">
        <v>45523</v>
      </c>
      <c r="H282" s="121"/>
      <c r="I282" s="121" t="s">
        <v>1156</v>
      </c>
      <c r="J282" s="121"/>
      <c r="K282" s="121" t="s">
        <v>374</v>
      </c>
      <c r="L282" s="121"/>
      <c r="M282" s="121" t="s">
        <v>970</v>
      </c>
      <c r="N282" s="121"/>
      <c r="O282" s="112">
        <v>416.67</v>
      </c>
      <c r="P282" s="1"/>
    </row>
    <row r="283" spans="1:16" ht="12.75" x14ac:dyDescent="0.2">
      <c r="A283" s="121"/>
      <c r="B283" s="121"/>
      <c r="C283" s="121"/>
      <c r="D283" s="121"/>
      <c r="E283" s="121" t="s">
        <v>307</v>
      </c>
      <c r="F283" s="121"/>
      <c r="G283" s="122">
        <v>45303</v>
      </c>
      <c r="H283" s="121"/>
      <c r="I283" s="121" t="s">
        <v>667</v>
      </c>
      <c r="J283" s="121"/>
      <c r="K283" s="121" t="s">
        <v>376</v>
      </c>
      <c r="L283" s="121"/>
      <c r="M283" s="121" t="s">
        <v>462</v>
      </c>
      <c r="N283" s="121"/>
      <c r="O283" s="112">
        <v>1500</v>
      </c>
      <c r="P283" s="1"/>
    </row>
    <row r="284" spans="1:16" ht="12.75" x14ac:dyDescent="0.2">
      <c r="A284" s="121"/>
      <c r="B284" s="121"/>
      <c r="C284" s="121"/>
      <c r="D284" s="121"/>
      <c r="E284" s="121" t="s">
        <v>307</v>
      </c>
      <c r="F284" s="121"/>
      <c r="G284" s="122">
        <v>45337</v>
      </c>
      <c r="H284" s="121"/>
      <c r="I284" s="121" t="s">
        <v>668</v>
      </c>
      <c r="J284" s="121"/>
      <c r="K284" s="121" t="s">
        <v>376</v>
      </c>
      <c r="L284" s="121"/>
      <c r="M284" s="121" t="s">
        <v>464</v>
      </c>
      <c r="N284" s="121"/>
      <c r="O284" s="112">
        <v>1500</v>
      </c>
      <c r="P284" s="1"/>
    </row>
    <row r="285" spans="1:16" ht="12.75" x14ac:dyDescent="0.2">
      <c r="A285" s="121"/>
      <c r="B285" s="121"/>
      <c r="C285" s="121"/>
      <c r="D285" s="121"/>
      <c r="E285" s="121" t="s">
        <v>307</v>
      </c>
      <c r="F285" s="121"/>
      <c r="G285" s="122">
        <v>45366</v>
      </c>
      <c r="H285" s="121"/>
      <c r="I285" s="121" t="s">
        <v>669</v>
      </c>
      <c r="J285" s="121"/>
      <c r="K285" s="121" t="s">
        <v>376</v>
      </c>
      <c r="L285" s="121"/>
      <c r="M285" s="121" t="s">
        <v>420</v>
      </c>
      <c r="N285" s="121"/>
      <c r="O285" s="112">
        <v>1666.67</v>
      </c>
      <c r="P285" s="1"/>
    </row>
    <row r="286" spans="1:16" ht="12.75" x14ac:dyDescent="0.2">
      <c r="A286" s="121"/>
      <c r="B286" s="121"/>
      <c r="C286" s="121"/>
      <c r="D286" s="121"/>
      <c r="E286" s="121" t="s">
        <v>307</v>
      </c>
      <c r="F286" s="121"/>
      <c r="G286" s="122">
        <v>45397</v>
      </c>
      <c r="H286" s="121"/>
      <c r="I286" s="121" t="s">
        <v>670</v>
      </c>
      <c r="J286" s="121"/>
      <c r="K286" s="121" t="s">
        <v>376</v>
      </c>
      <c r="L286" s="121"/>
      <c r="M286" s="121" t="s">
        <v>322</v>
      </c>
      <c r="N286" s="121"/>
      <c r="O286" s="112">
        <v>1666.67</v>
      </c>
      <c r="P286" s="1"/>
    </row>
    <row r="287" spans="1:16" ht="12.75" x14ac:dyDescent="0.2">
      <c r="A287" s="121"/>
      <c r="B287" s="121"/>
      <c r="C287" s="121"/>
      <c r="D287" s="121"/>
      <c r="E287" s="121" t="s">
        <v>307</v>
      </c>
      <c r="F287" s="121"/>
      <c r="G287" s="122">
        <v>45427</v>
      </c>
      <c r="H287" s="121"/>
      <c r="I287" s="121" t="s">
        <v>671</v>
      </c>
      <c r="J287" s="121"/>
      <c r="K287" s="121" t="s">
        <v>376</v>
      </c>
      <c r="L287" s="121"/>
      <c r="M287" s="121" t="s">
        <v>311</v>
      </c>
      <c r="N287" s="121"/>
      <c r="O287" s="112">
        <v>1666.67</v>
      </c>
      <c r="P287" s="1"/>
    </row>
    <row r="288" spans="1:16" ht="12.75" x14ac:dyDescent="0.2">
      <c r="A288" s="121"/>
      <c r="B288" s="121"/>
      <c r="C288" s="121"/>
      <c r="D288" s="121"/>
      <c r="E288" s="121" t="s">
        <v>307</v>
      </c>
      <c r="F288" s="121"/>
      <c r="G288" s="122">
        <v>45458</v>
      </c>
      <c r="H288" s="121"/>
      <c r="I288" s="121" t="s">
        <v>375</v>
      </c>
      <c r="J288" s="121"/>
      <c r="K288" s="121" t="s">
        <v>376</v>
      </c>
      <c r="L288" s="121"/>
      <c r="M288" s="121" t="s">
        <v>314</v>
      </c>
      <c r="N288" s="121"/>
      <c r="O288" s="112">
        <v>1666.67</v>
      </c>
      <c r="P288" s="1"/>
    </row>
    <row r="289" spans="1:16" ht="12.75" x14ac:dyDescent="0.2">
      <c r="A289" s="121"/>
      <c r="B289" s="121"/>
      <c r="C289" s="121"/>
      <c r="D289" s="121"/>
      <c r="E289" s="121" t="s">
        <v>307</v>
      </c>
      <c r="F289" s="121"/>
      <c r="G289" s="122">
        <v>45488</v>
      </c>
      <c r="H289" s="121"/>
      <c r="I289" s="121" t="s">
        <v>980</v>
      </c>
      <c r="J289" s="121"/>
      <c r="K289" s="121" t="s">
        <v>376</v>
      </c>
      <c r="L289" s="121"/>
      <c r="M289" s="121" t="s">
        <v>941</v>
      </c>
      <c r="N289" s="121"/>
      <c r="O289" s="112">
        <v>1666.67</v>
      </c>
      <c r="P289" s="1"/>
    </row>
    <row r="290" spans="1:16" ht="12.75" x14ac:dyDescent="0.2">
      <c r="A290" s="121"/>
      <c r="B290" s="121"/>
      <c r="C290" s="121"/>
      <c r="D290" s="121"/>
      <c r="E290" s="121" t="s">
        <v>307</v>
      </c>
      <c r="F290" s="121"/>
      <c r="G290" s="122">
        <v>45519</v>
      </c>
      <c r="H290" s="121"/>
      <c r="I290" s="121" t="s">
        <v>1157</v>
      </c>
      <c r="J290" s="121"/>
      <c r="K290" s="121" t="s">
        <v>376</v>
      </c>
      <c r="L290" s="121"/>
      <c r="M290" s="121" t="s">
        <v>970</v>
      </c>
      <c r="N290" s="121"/>
      <c r="O290" s="112">
        <v>1666.67</v>
      </c>
      <c r="P290" s="1"/>
    </row>
    <row r="291" spans="1:16" ht="12.75" x14ac:dyDescent="0.2">
      <c r="A291" s="121"/>
      <c r="B291" s="121"/>
      <c r="C291" s="121"/>
      <c r="D291" s="121"/>
      <c r="E291" s="121" t="s">
        <v>307</v>
      </c>
      <c r="F291" s="121"/>
      <c r="G291" s="122">
        <v>45316</v>
      </c>
      <c r="H291" s="121"/>
      <c r="I291" s="121" t="s">
        <v>672</v>
      </c>
      <c r="J291" s="121"/>
      <c r="K291" s="121" t="s">
        <v>673</v>
      </c>
      <c r="L291" s="121"/>
      <c r="M291" s="121" t="s">
        <v>462</v>
      </c>
      <c r="N291" s="121"/>
      <c r="O291" s="112">
        <v>1437.5</v>
      </c>
      <c r="P291" s="1"/>
    </row>
    <row r="292" spans="1:16" ht="12.75" x14ac:dyDescent="0.2">
      <c r="A292" s="121"/>
      <c r="B292" s="121"/>
      <c r="C292" s="121"/>
      <c r="D292" s="121"/>
      <c r="E292" s="121" t="s">
        <v>307</v>
      </c>
      <c r="F292" s="121"/>
      <c r="G292" s="122">
        <v>45358</v>
      </c>
      <c r="H292" s="121"/>
      <c r="I292" s="121" t="s">
        <v>674</v>
      </c>
      <c r="J292" s="121"/>
      <c r="K292" s="121" t="s">
        <v>673</v>
      </c>
      <c r="L292" s="121"/>
      <c r="M292" s="121" t="s">
        <v>664</v>
      </c>
      <c r="N292" s="121"/>
      <c r="O292" s="112">
        <v>2875</v>
      </c>
      <c r="P292" s="1"/>
    </row>
    <row r="293" spans="1:16" ht="12.75" x14ac:dyDescent="0.2">
      <c r="A293" s="121"/>
      <c r="B293" s="121"/>
      <c r="C293" s="121"/>
      <c r="D293" s="121"/>
      <c r="E293" s="121" t="s">
        <v>307</v>
      </c>
      <c r="F293" s="121"/>
      <c r="G293" s="122">
        <v>45418</v>
      </c>
      <c r="H293" s="121"/>
      <c r="I293" s="121" t="s">
        <v>675</v>
      </c>
      <c r="J293" s="121"/>
      <c r="K293" s="121" t="s">
        <v>673</v>
      </c>
      <c r="L293" s="121"/>
      <c r="M293" s="121" t="s">
        <v>676</v>
      </c>
      <c r="N293" s="121"/>
      <c r="O293" s="112">
        <v>2875</v>
      </c>
      <c r="P293" s="1"/>
    </row>
    <row r="294" spans="1:16" ht="12.75" x14ac:dyDescent="0.2">
      <c r="A294" s="121"/>
      <c r="B294" s="121"/>
      <c r="C294" s="121"/>
      <c r="D294" s="121"/>
      <c r="E294" s="121" t="s">
        <v>307</v>
      </c>
      <c r="F294" s="121"/>
      <c r="G294" s="122">
        <v>45510</v>
      </c>
      <c r="H294" s="121"/>
      <c r="I294" s="121" t="s">
        <v>1158</v>
      </c>
      <c r="J294" s="121"/>
      <c r="K294" s="121" t="s">
        <v>673</v>
      </c>
      <c r="L294" s="121"/>
      <c r="M294" s="121" t="s">
        <v>1129</v>
      </c>
      <c r="N294" s="121"/>
      <c r="O294" s="112">
        <v>2875</v>
      </c>
      <c r="P294" s="1"/>
    </row>
    <row r="295" spans="1:16" ht="12.75" x14ac:dyDescent="0.2">
      <c r="A295" s="121"/>
      <c r="B295" s="121"/>
      <c r="C295" s="121"/>
      <c r="D295" s="121"/>
      <c r="E295" s="121" t="s">
        <v>307</v>
      </c>
      <c r="F295" s="121"/>
      <c r="G295" s="122">
        <v>45301</v>
      </c>
      <c r="H295" s="121"/>
      <c r="I295" s="121" t="s">
        <v>677</v>
      </c>
      <c r="J295" s="121"/>
      <c r="K295" s="121" t="s">
        <v>378</v>
      </c>
      <c r="L295" s="121"/>
      <c r="M295" s="121" t="s">
        <v>462</v>
      </c>
      <c r="N295" s="121"/>
      <c r="O295" s="112">
        <v>1300</v>
      </c>
      <c r="P295" s="1"/>
    </row>
    <row r="296" spans="1:16" ht="12.75" x14ac:dyDescent="0.2">
      <c r="A296" s="121"/>
      <c r="B296" s="121"/>
      <c r="C296" s="121"/>
      <c r="D296" s="121"/>
      <c r="E296" s="121" t="s">
        <v>307</v>
      </c>
      <c r="F296" s="121"/>
      <c r="G296" s="122">
        <v>45324</v>
      </c>
      <c r="H296" s="121"/>
      <c r="I296" s="121" t="s">
        <v>678</v>
      </c>
      <c r="J296" s="121"/>
      <c r="K296" s="121" t="s">
        <v>378</v>
      </c>
      <c r="L296" s="121"/>
      <c r="M296" s="121" t="s">
        <v>464</v>
      </c>
      <c r="N296" s="121"/>
      <c r="O296" s="112">
        <v>1300</v>
      </c>
      <c r="P296" s="1"/>
    </row>
    <row r="297" spans="1:16" ht="12.75" x14ac:dyDescent="0.2">
      <c r="A297" s="121"/>
      <c r="B297" s="121"/>
      <c r="C297" s="121"/>
      <c r="D297" s="121"/>
      <c r="E297" s="121" t="s">
        <v>307</v>
      </c>
      <c r="F297" s="121"/>
      <c r="G297" s="122">
        <v>45356</v>
      </c>
      <c r="H297" s="121"/>
      <c r="I297" s="121" t="s">
        <v>679</v>
      </c>
      <c r="J297" s="121"/>
      <c r="K297" s="121" t="s">
        <v>378</v>
      </c>
      <c r="L297" s="121"/>
      <c r="M297" s="121" t="s">
        <v>420</v>
      </c>
      <c r="N297" s="121"/>
      <c r="O297" s="112">
        <v>1300</v>
      </c>
      <c r="P297" s="1"/>
    </row>
    <row r="298" spans="1:16" ht="12.75" x14ac:dyDescent="0.2">
      <c r="A298" s="121"/>
      <c r="B298" s="121"/>
      <c r="C298" s="121"/>
      <c r="D298" s="121"/>
      <c r="E298" s="121" t="s">
        <v>307</v>
      </c>
      <c r="F298" s="121"/>
      <c r="G298" s="122">
        <v>45385</v>
      </c>
      <c r="H298" s="121"/>
      <c r="I298" s="121" t="s">
        <v>680</v>
      </c>
      <c r="J298" s="121"/>
      <c r="K298" s="121" t="s">
        <v>378</v>
      </c>
      <c r="L298" s="121"/>
      <c r="M298" s="121" t="s">
        <v>322</v>
      </c>
      <c r="N298" s="121"/>
      <c r="O298" s="112">
        <v>1300</v>
      </c>
      <c r="P298" s="1"/>
    </row>
    <row r="299" spans="1:16" ht="12.75" x14ac:dyDescent="0.2">
      <c r="A299" s="121"/>
      <c r="B299" s="121"/>
      <c r="C299" s="121"/>
      <c r="D299" s="121"/>
      <c r="E299" s="121" t="s">
        <v>307</v>
      </c>
      <c r="F299" s="121"/>
      <c r="G299" s="122">
        <v>45418</v>
      </c>
      <c r="H299" s="121"/>
      <c r="I299" s="121" t="s">
        <v>681</v>
      </c>
      <c r="J299" s="121"/>
      <c r="K299" s="121" t="s">
        <v>378</v>
      </c>
      <c r="L299" s="121"/>
      <c r="M299" s="121" t="s">
        <v>311</v>
      </c>
      <c r="N299" s="121"/>
      <c r="O299" s="112">
        <v>1300</v>
      </c>
      <c r="P299" s="1"/>
    </row>
    <row r="300" spans="1:16" ht="12.75" x14ac:dyDescent="0.2">
      <c r="A300" s="121"/>
      <c r="B300" s="121"/>
      <c r="C300" s="121"/>
      <c r="D300" s="121"/>
      <c r="E300" s="121" t="s">
        <v>307</v>
      </c>
      <c r="F300" s="121"/>
      <c r="G300" s="122">
        <v>45447</v>
      </c>
      <c r="H300" s="121"/>
      <c r="I300" s="121" t="s">
        <v>377</v>
      </c>
      <c r="J300" s="121"/>
      <c r="K300" s="121" t="s">
        <v>378</v>
      </c>
      <c r="L300" s="121"/>
      <c r="M300" s="121" t="s">
        <v>314</v>
      </c>
      <c r="N300" s="121"/>
      <c r="O300" s="112">
        <v>1300</v>
      </c>
      <c r="P300" s="1"/>
    </row>
    <row r="301" spans="1:16" ht="12.75" x14ac:dyDescent="0.2">
      <c r="A301" s="121"/>
      <c r="B301" s="121"/>
      <c r="C301" s="121"/>
      <c r="D301" s="121"/>
      <c r="E301" s="121" t="s">
        <v>307</v>
      </c>
      <c r="F301" s="121"/>
      <c r="G301" s="122">
        <v>45478</v>
      </c>
      <c r="H301" s="121"/>
      <c r="I301" s="121" t="s">
        <v>981</v>
      </c>
      <c r="J301" s="121"/>
      <c r="K301" s="121" t="s">
        <v>378</v>
      </c>
      <c r="L301" s="121"/>
      <c r="M301" s="121" t="s">
        <v>941</v>
      </c>
      <c r="N301" s="121"/>
      <c r="O301" s="112">
        <v>1300</v>
      </c>
      <c r="P301" s="1"/>
    </row>
    <row r="302" spans="1:16" ht="12.75" x14ac:dyDescent="0.2">
      <c r="A302" s="121"/>
      <c r="B302" s="121"/>
      <c r="C302" s="121"/>
      <c r="D302" s="121"/>
      <c r="E302" s="121" t="s">
        <v>307</v>
      </c>
      <c r="F302" s="121"/>
      <c r="G302" s="122">
        <v>45506</v>
      </c>
      <c r="H302" s="121"/>
      <c r="I302" s="121" t="s">
        <v>1159</v>
      </c>
      <c r="J302" s="121"/>
      <c r="K302" s="121" t="s">
        <v>378</v>
      </c>
      <c r="L302" s="121"/>
      <c r="M302" s="121" t="s">
        <v>970</v>
      </c>
      <c r="N302" s="121"/>
      <c r="O302" s="112">
        <v>1300</v>
      </c>
      <c r="P302" s="1"/>
    </row>
    <row r="303" spans="1:16" ht="12.75" x14ac:dyDescent="0.2">
      <c r="A303" s="121"/>
      <c r="B303" s="121"/>
      <c r="C303" s="121"/>
      <c r="D303" s="121"/>
      <c r="E303" s="121" t="s">
        <v>307</v>
      </c>
      <c r="F303" s="121"/>
      <c r="G303" s="122">
        <v>45372</v>
      </c>
      <c r="H303" s="121"/>
      <c r="I303" s="121" t="s">
        <v>682</v>
      </c>
      <c r="J303" s="121"/>
      <c r="K303" s="121" t="s">
        <v>683</v>
      </c>
      <c r="L303" s="121"/>
      <c r="M303" s="121" t="s">
        <v>462</v>
      </c>
      <c r="N303" s="121"/>
      <c r="O303" s="112">
        <v>900</v>
      </c>
      <c r="P303" s="1"/>
    </row>
    <row r="304" spans="1:16" ht="12.75" x14ac:dyDescent="0.2">
      <c r="A304" s="121"/>
      <c r="B304" s="121"/>
      <c r="C304" s="121"/>
      <c r="D304" s="121"/>
      <c r="E304" s="121" t="s">
        <v>307</v>
      </c>
      <c r="F304" s="121"/>
      <c r="G304" s="122">
        <v>45478</v>
      </c>
      <c r="H304" s="121"/>
      <c r="I304" s="121" t="s">
        <v>982</v>
      </c>
      <c r="J304" s="121"/>
      <c r="K304" s="121" t="s">
        <v>683</v>
      </c>
      <c r="L304" s="121"/>
      <c r="M304" s="121" t="s">
        <v>983</v>
      </c>
      <c r="N304" s="121"/>
      <c r="O304" s="112">
        <v>900</v>
      </c>
      <c r="P304" s="1"/>
    </row>
    <row r="305" spans="1:16" ht="12.75" x14ac:dyDescent="0.2">
      <c r="A305" s="121"/>
      <c r="B305" s="121"/>
      <c r="C305" s="121"/>
      <c r="D305" s="121"/>
      <c r="E305" s="121" t="s">
        <v>307</v>
      </c>
      <c r="F305" s="121"/>
      <c r="G305" s="122">
        <v>45301</v>
      </c>
      <c r="H305" s="121"/>
      <c r="I305" s="121" t="s">
        <v>684</v>
      </c>
      <c r="J305" s="121"/>
      <c r="K305" s="121" t="s">
        <v>380</v>
      </c>
      <c r="L305" s="121"/>
      <c r="M305" s="121" t="s">
        <v>462</v>
      </c>
      <c r="N305" s="121"/>
      <c r="O305" s="112">
        <v>6250</v>
      </c>
      <c r="P305" s="1"/>
    </row>
    <row r="306" spans="1:16" ht="12.75" x14ac:dyDescent="0.2">
      <c r="A306" s="121"/>
      <c r="B306" s="121"/>
      <c r="C306" s="121"/>
      <c r="D306" s="121"/>
      <c r="E306" s="121" t="s">
        <v>307</v>
      </c>
      <c r="F306" s="121"/>
      <c r="G306" s="122">
        <v>45357</v>
      </c>
      <c r="H306" s="121"/>
      <c r="I306" s="121" t="s">
        <v>685</v>
      </c>
      <c r="J306" s="121"/>
      <c r="K306" s="121" t="s">
        <v>380</v>
      </c>
      <c r="L306" s="121"/>
      <c r="M306" s="121" t="s">
        <v>420</v>
      </c>
      <c r="N306" s="121"/>
      <c r="O306" s="112">
        <v>6250</v>
      </c>
      <c r="P306" s="1"/>
    </row>
    <row r="307" spans="1:16" ht="12.75" x14ac:dyDescent="0.2">
      <c r="A307" s="121"/>
      <c r="B307" s="121"/>
      <c r="C307" s="121"/>
      <c r="D307" s="121"/>
      <c r="E307" s="121" t="s">
        <v>307</v>
      </c>
      <c r="F307" s="121"/>
      <c r="G307" s="122">
        <v>45330</v>
      </c>
      <c r="H307" s="121"/>
      <c r="I307" s="121" t="s">
        <v>686</v>
      </c>
      <c r="J307" s="121"/>
      <c r="K307" s="121" t="s">
        <v>380</v>
      </c>
      <c r="L307" s="121"/>
      <c r="M307" s="121" t="s">
        <v>464</v>
      </c>
      <c r="N307" s="121"/>
      <c r="O307" s="112">
        <v>6250</v>
      </c>
      <c r="P307" s="1"/>
    </row>
    <row r="308" spans="1:16" ht="12.75" x14ac:dyDescent="0.2">
      <c r="A308" s="121"/>
      <c r="B308" s="121"/>
      <c r="C308" s="121"/>
      <c r="D308" s="121"/>
      <c r="E308" s="121" t="s">
        <v>307</v>
      </c>
      <c r="F308" s="121"/>
      <c r="G308" s="122">
        <v>45404</v>
      </c>
      <c r="H308" s="121"/>
      <c r="I308" s="121" t="s">
        <v>687</v>
      </c>
      <c r="J308" s="121"/>
      <c r="K308" s="121" t="s">
        <v>380</v>
      </c>
      <c r="L308" s="121"/>
      <c r="M308" s="121" t="s">
        <v>322</v>
      </c>
      <c r="N308" s="121"/>
      <c r="O308" s="112">
        <v>6250</v>
      </c>
      <c r="P308" s="1"/>
    </row>
    <row r="309" spans="1:16" ht="12.75" x14ac:dyDescent="0.2">
      <c r="A309" s="121"/>
      <c r="B309" s="121"/>
      <c r="C309" s="121"/>
      <c r="D309" s="121"/>
      <c r="E309" s="121" t="s">
        <v>307</v>
      </c>
      <c r="F309" s="121"/>
      <c r="G309" s="122">
        <v>45418</v>
      </c>
      <c r="H309" s="121"/>
      <c r="I309" s="121" t="s">
        <v>688</v>
      </c>
      <c r="J309" s="121"/>
      <c r="K309" s="121" t="s">
        <v>380</v>
      </c>
      <c r="L309" s="121"/>
      <c r="M309" s="121" t="s">
        <v>311</v>
      </c>
      <c r="N309" s="121"/>
      <c r="O309" s="112">
        <v>6250</v>
      </c>
      <c r="P309" s="1"/>
    </row>
    <row r="310" spans="1:16" ht="12.75" x14ac:dyDescent="0.2">
      <c r="A310" s="121"/>
      <c r="B310" s="121"/>
      <c r="C310" s="121"/>
      <c r="D310" s="121"/>
      <c r="E310" s="121" t="s">
        <v>307</v>
      </c>
      <c r="F310" s="121"/>
      <c r="G310" s="122">
        <v>45455</v>
      </c>
      <c r="H310" s="121"/>
      <c r="I310" s="121" t="s">
        <v>379</v>
      </c>
      <c r="J310" s="121"/>
      <c r="K310" s="121" t="s">
        <v>380</v>
      </c>
      <c r="L310" s="121"/>
      <c r="M310" s="121" t="s">
        <v>314</v>
      </c>
      <c r="N310" s="121"/>
      <c r="O310" s="112">
        <v>6250</v>
      </c>
      <c r="P310" s="1"/>
    </row>
    <row r="311" spans="1:16" ht="12.75" x14ac:dyDescent="0.2">
      <c r="A311" s="121"/>
      <c r="B311" s="121"/>
      <c r="C311" s="121"/>
      <c r="D311" s="121"/>
      <c r="E311" s="121" t="s">
        <v>307</v>
      </c>
      <c r="F311" s="121"/>
      <c r="G311" s="122">
        <v>45478</v>
      </c>
      <c r="H311" s="121"/>
      <c r="I311" s="121" t="s">
        <v>984</v>
      </c>
      <c r="J311" s="121"/>
      <c r="K311" s="121" t="s">
        <v>380</v>
      </c>
      <c r="L311" s="121"/>
      <c r="M311" s="121" t="s">
        <v>941</v>
      </c>
      <c r="N311" s="121"/>
      <c r="O311" s="112">
        <v>6250</v>
      </c>
      <c r="P311" s="1"/>
    </row>
    <row r="312" spans="1:16" ht="12.75" x14ac:dyDescent="0.2">
      <c r="A312" s="121"/>
      <c r="B312" s="121"/>
      <c r="C312" s="121"/>
      <c r="D312" s="121"/>
      <c r="E312" s="121" t="s">
        <v>307</v>
      </c>
      <c r="F312" s="121"/>
      <c r="G312" s="122">
        <v>45513</v>
      </c>
      <c r="H312" s="121"/>
      <c r="I312" s="121" t="s">
        <v>1160</v>
      </c>
      <c r="J312" s="121"/>
      <c r="K312" s="121" t="s">
        <v>380</v>
      </c>
      <c r="L312" s="121"/>
      <c r="M312" s="121" t="s">
        <v>970</v>
      </c>
      <c r="N312" s="121"/>
      <c r="O312" s="112">
        <v>6250</v>
      </c>
      <c r="P312" s="1"/>
    </row>
    <row r="313" spans="1:16" ht="12.75" x14ac:dyDescent="0.2">
      <c r="A313" s="121"/>
      <c r="B313" s="121"/>
      <c r="C313" s="121"/>
      <c r="D313" s="121"/>
      <c r="E313" s="121" t="s">
        <v>307</v>
      </c>
      <c r="F313" s="121"/>
      <c r="G313" s="122">
        <v>45338</v>
      </c>
      <c r="H313" s="121"/>
      <c r="I313" s="121" t="s">
        <v>689</v>
      </c>
      <c r="J313" s="121"/>
      <c r="K313" s="121" t="s">
        <v>382</v>
      </c>
      <c r="L313" s="121"/>
      <c r="M313" s="121" t="s">
        <v>462</v>
      </c>
      <c r="N313" s="121"/>
      <c r="O313" s="112">
        <v>1953.6</v>
      </c>
      <c r="P313" s="1"/>
    </row>
    <row r="314" spans="1:16" ht="12.75" x14ac:dyDescent="0.2">
      <c r="A314" s="121"/>
      <c r="B314" s="121"/>
      <c r="C314" s="121"/>
      <c r="D314" s="121"/>
      <c r="E314" s="121" t="s">
        <v>307</v>
      </c>
      <c r="F314" s="121"/>
      <c r="G314" s="122">
        <v>45357</v>
      </c>
      <c r="H314" s="121"/>
      <c r="I314" s="121" t="s">
        <v>690</v>
      </c>
      <c r="J314" s="121"/>
      <c r="K314" s="121" t="s">
        <v>382</v>
      </c>
      <c r="L314" s="121"/>
      <c r="M314" s="121" t="s">
        <v>464</v>
      </c>
      <c r="N314" s="121"/>
      <c r="O314" s="112">
        <v>2349.87</v>
      </c>
      <c r="P314" s="1"/>
    </row>
    <row r="315" spans="1:16" ht="12.75" x14ac:dyDescent="0.2">
      <c r="A315" s="121"/>
      <c r="B315" s="121"/>
      <c r="C315" s="121"/>
      <c r="D315" s="121"/>
      <c r="E315" s="121" t="s">
        <v>307</v>
      </c>
      <c r="F315" s="121"/>
      <c r="G315" s="122">
        <v>45391</v>
      </c>
      <c r="H315" s="121"/>
      <c r="I315" s="121" t="s">
        <v>691</v>
      </c>
      <c r="J315" s="121"/>
      <c r="K315" s="121" t="s">
        <v>382</v>
      </c>
      <c r="L315" s="121"/>
      <c r="M315" s="121" t="s">
        <v>420</v>
      </c>
      <c r="N315" s="121"/>
      <c r="O315" s="112">
        <v>2770.44</v>
      </c>
      <c r="P315" s="1"/>
    </row>
    <row r="316" spans="1:16" ht="12.75" x14ac:dyDescent="0.2">
      <c r="A316" s="121"/>
      <c r="B316" s="121"/>
      <c r="C316" s="121"/>
      <c r="D316" s="121"/>
      <c r="E316" s="121" t="s">
        <v>307</v>
      </c>
      <c r="F316" s="121"/>
      <c r="G316" s="122">
        <v>45420</v>
      </c>
      <c r="H316" s="121"/>
      <c r="I316" s="121" t="s">
        <v>692</v>
      </c>
      <c r="J316" s="121"/>
      <c r="K316" s="121" t="s">
        <v>382</v>
      </c>
      <c r="L316" s="121"/>
      <c r="M316" s="121" t="s">
        <v>322</v>
      </c>
      <c r="N316" s="121"/>
      <c r="O316" s="112">
        <v>2568.5700000000002</v>
      </c>
      <c r="P316" s="1"/>
    </row>
    <row r="317" spans="1:16" ht="12.75" x14ac:dyDescent="0.2">
      <c r="A317" s="121"/>
      <c r="B317" s="121"/>
      <c r="C317" s="121"/>
      <c r="D317" s="121"/>
      <c r="E317" s="121" t="s">
        <v>307</v>
      </c>
      <c r="F317" s="121"/>
      <c r="G317" s="122">
        <v>45449</v>
      </c>
      <c r="H317" s="121"/>
      <c r="I317" s="121" t="s">
        <v>381</v>
      </c>
      <c r="J317" s="121"/>
      <c r="K317" s="121" t="s">
        <v>382</v>
      </c>
      <c r="L317" s="121"/>
      <c r="M317" s="121" t="s">
        <v>311</v>
      </c>
      <c r="N317" s="121"/>
      <c r="O317" s="112">
        <v>2049.14</v>
      </c>
      <c r="P317" s="1"/>
    </row>
    <row r="318" spans="1:16" ht="12.75" x14ac:dyDescent="0.2">
      <c r="A318" s="121"/>
      <c r="B318" s="121"/>
      <c r="C318" s="121"/>
      <c r="D318" s="121"/>
      <c r="E318" s="121" t="s">
        <v>307</v>
      </c>
      <c r="F318" s="121"/>
      <c r="G318" s="122">
        <v>45483</v>
      </c>
      <c r="H318" s="121"/>
      <c r="I318" s="121" t="s">
        <v>985</v>
      </c>
      <c r="J318" s="121"/>
      <c r="K318" s="121" t="s">
        <v>382</v>
      </c>
      <c r="L318" s="121"/>
      <c r="M318" s="121" t="s">
        <v>314</v>
      </c>
      <c r="N318" s="121"/>
      <c r="O318" s="112">
        <v>2263.5</v>
      </c>
      <c r="P318" s="1"/>
    </row>
    <row r="319" spans="1:16" ht="12.75" x14ac:dyDescent="0.2">
      <c r="A319" s="121"/>
      <c r="B319" s="121"/>
      <c r="C319" s="121"/>
      <c r="D319" s="121"/>
      <c r="E319" s="121" t="s">
        <v>307</v>
      </c>
      <c r="F319" s="121"/>
      <c r="G319" s="122">
        <v>45320</v>
      </c>
      <c r="H319" s="121"/>
      <c r="I319" s="121" t="s">
        <v>693</v>
      </c>
      <c r="J319" s="121"/>
      <c r="K319" s="121" t="s">
        <v>694</v>
      </c>
      <c r="L319" s="121"/>
      <c r="M319" s="121" t="s">
        <v>584</v>
      </c>
      <c r="N319" s="121"/>
      <c r="O319" s="112">
        <v>1500</v>
      </c>
      <c r="P319" s="1"/>
    </row>
    <row r="320" spans="1:16" ht="12.75" x14ac:dyDescent="0.2">
      <c r="A320" s="121"/>
      <c r="B320" s="121"/>
      <c r="C320" s="121"/>
      <c r="D320" s="121"/>
      <c r="E320" s="121" t="s">
        <v>307</v>
      </c>
      <c r="F320" s="121"/>
      <c r="G320" s="122">
        <v>45387</v>
      </c>
      <c r="H320" s="121"/>
      <c r="I320" s="121" t="s">
        <v>695</v>
      </c>
      <c r="J320" s="121"/>
      <c r="K320" s="121" t="s">
        <v>694</v>
      </c>
      <c r="L320" s="121"/>
      <c r="M320" s="121" t="s">
        <v>612</v>
      </c>
      <c r="N320" s="121"/>
      <c r="O320" s="112">
        <v>1500</v>
      </c>
      <c r="P320" s="1"/>
    </row>
    <row r="321" spans="1:16" ht="12.75" x14ac:dyDescent="0.2">
      <c r="A321" s="121"/>
      <c r="B321" s="121"/>
      <c r="C321" s="121"/>
      <c r="D321" s="121"/>
      <c r="E321" s="121" t="s">
        <v>307</v>
      </c>
      <c r="F321" s="121"/>
      <c r="G321" s="122">
        <v>45482</v>
      </c>
      <c r="H321" s="121"/>
      <c r="I321" s="121" t="s">
        <v>986</v>
      </c>
      <c r="J321" s="121"/>
      <c r="K321" s="121" t="s">
        <v>694</v>
      </c>
      <c r="L321" s="121"/>
      <c r="M321" s="121" t="s">
        <v>987</v>
      </c>
      <c r="N321" s="121"/>
      <c r="O321" s="112">
        <v>1500</v>
      </c>
      <c r="P321" s="1"/>
    </row>
    <row r="322" spans="1:16" ht="12.75" x14ac:dyDescent="0.2">
      <c r="A322" s="121"/>
      <c r="B322" s="121"/>
      <c r="C322" s="121"/>
      <c r="D322" s="121"/>
      <c r="E322" s="121" t="s">
        <v>307</v>
      </c>
      <c r="F322" s="121"/>
      <c r="G322" s="122">
        <v>45316</v>
      </c>
      <c r="H322" s="121"/>
      <c r="I322" s="121" t="s">
        <v>696</v>
      </c>
      <c r="J322" s="121"/>
      <c r="K322" s="121" t="s">
        <v>384</v>
      </c>
      <c r="L322" s="121"/>
      <c r="M322" s="121" t="s">
        <v>482</v>
      </c>
      <c r="N322" s="121"/>
      <c r="O322" s="112">
        <v>2301.8200000000002</v>
      </c>
      <c r="P322" s="1"/>
    </row>
    <row r="323" spans="1:16" ht="12.75" x14ac:dyDescent="0.2">
      <c r="A323" s="121"/>
      <c r="B323" s="121"/>
      <c r="C323" s="121"/>
      <c r="D323" s="121"/>
      <c r="E323" s="121" t="s">
        <v>307</v>
      </c>
      <c r="F323" s="121"/>
      <c r="G323" s="122">
        <v>45345</v>
      </c>
      <c r="H323" s="121"/>
      <c r="I323" s="121" t="s">
        <v>697</v>
      </c>
      <c r="J323" s="121"/>
      <c r="K323" s="121" t="s">
        <v>384</v>
      </c>
      <c r="L323" s="121"/>
      <c r="M323" s="121" t="s">
        <v>462</v>
      </c>
      <c r="N323" s="121"/>
      <c r="O323" s="112">
        <v>2537.9</v>
      </c>
      <c r="P323" s="1"/>
    </row>
    <row r="324" spans="1:16" ht="12.75" x14ac:dyDescent="0.2">
      <c r="A324" s="121"/>
      <c r="B324" s="121"/>
      <c r="C324" s="121"/>
      <c r="D324" s="121"/>
      <c r="E324" s="121" t="s">
        <v>307</v>
      </c>
      <c r="F324" s="121"/>
      <c r="G324" s="122">
        <v>45365</v>
      </c>
      <c r="H324" s="121"/>
      <c r="I324" s="121" t="s">
        <v>698</v>
      </c>
      <c r="J324" s="121"/>
      <c r="K324" s="121" t="s">
        <v>384</v>
      </c>
      <c r="L324" s="121"/>
      <c r="M324" s="121" t="s">
        <v>464</v>
      </c>
      <c r="N324" s="121"/>
      <c r="O324" s="112">
        <v>1689.23</v>
      </c>
      <c r="P324" s="1"/>
    </row>
    <row r="325" spans="1:16" ht="12.75" x14ac:dyDescent="0.2">
      <c r="A325" s="121"/>
      <c r="B325" s="121"/>
      <c r="C325" s="121"/>
      <c r="D325" s="121"/>
      <c r="E325" s="121" t="s">
        <v>307</v>
      </c>
      <c r="F325" s="121"/>
      <c r="G325" s="122">
        <v>45405</v>
      </c>
      <c r="H325" s="121"/>
      <c r="I325" s="121" t="s">
        <v>699</v>
      </c>
      <c r="J325" s="121"/>
      <c r="K325" s="121" t="s">
        <v>384</v>
      </c>
      <c r="L325" s="121"/>
      <c r="M325" s="121" t="s">
        <v>420</v>
      </c>
      <c r="N325" s="121"/>
      <c r="O325" s="112">
        <v>1781.04</v>
      </c>
      <c r="P325" s="1"/>
    </row>
    <row r="326" spans="1:16" ht="12.75" x14ac:dyDescent="0.2">
      <c r="A326" s="121"/>
      <c r="B326" s="121"/>
      <c r="C326" s="121"/>
      <c r="D326" s="121"/>
      <c r="E326" s="121" t="s">
        <v>307</v>
      </c>
      <c r="F326" s="121"/>
      <c r="G326" s="122">
        <v>45427</v>
      </c>
      <c r="H326" s="121"/>
      <c r="I326" s="121" t="s">
        <v>700</v>
      </c>
      <c r="J326" s="121"/>
      <c r="K326" s="121" t="s">
        <v>384</v>
      </c>
      <c r="L326" s="121"/>
      <c r="M326" s="121" t="s">
        <v>322</v>
      </c>
      <c r="N326" s="121"/>
      <c r="O326" s="112">
        <v>1725.05</v>
      </c>
      <c r="P326" s="1"/>
    </row>
    <row r="327" spans="1:16" ht="12.75" x14ac:dyDescent="0.2">
      <c r="A327" s="121"/>
      <c r="B327" s="121"/>
      <c r="C327" s="121"/>
      <c r="D327" s="121"/>
      <c r="E327" s="121" t="s">
        <v>307</v>
      </c>
      <c r="F327" s="121"/>
      <c r="G327" s="122">
        <v>45454</v>
      </c>
      <c r="H327" s="121"/>
      <c r="I327" s="121" t="s">
        <v>383</v>
      </c>
      <c r="J327" s="121"/>
      <c r="K327" s="121" t="s">
        <v>384</v>
      </c>
      <c r="L327" s="121"/>
      <c r="M327" s="121" t="s">
        <v>311</v>
      </c>
      <c r="N327" s="121"/>
      <c r="O327" s="112">
        <v>2059.37</v>
      </c>
      <c r="P327" s="1"/>
    </row>
    <row r="328" spans="1:16" ht="12.75" x14ac:dyDescent="0.2">
      <c r="A328" s="121"/>
      <c r="B328" s="121"/>
      <c r="C328" s="121"/>
      <c r="D328" s="121"/>
      <c r="E328" s="121" t="s">
        <v>307</v>
      </c>
      <c r="F328" s="121"/>
      <c r="G328" s="122">
        <v>45482</v>
      </c>
      <c r="H328" s="121"/>
      <c r="I328" s="121" t="s">
        <v>988</v>
      </c>
      <c r="J328" s="121"/>
      <c r="K328" s="121" t="s">
        <v>384</v>
      </c>
      <c r="L328" s="121"/>
      <c r="M328" s="121" t="s">
        <v>314</v>
      </c>
      <c r="N328" s="121"/>
      <c r="O328" s="112">
        <v>1933.69</v>
      </c>
      <c r="P328" s="1"/>
    </row>
    <row r="329" spans="1:16" ht="12.75" x14ac:dyDescent="0.2">
      <c r="A329" s="121"/>
      <c r="B329" s="121"/>
      <c r="C329" s="121"/>
      <c r="D329" s="121"/>
      <c r="E329" s="121" t="s">
        <v>307</v>
      </c>
      <c r="F329" s="121"/>
      <c r="G329" s="122">
        <v>45525</v>
      </c>
      <c r="H329" s="121"/>
      <c r="I329" s="121" t="s">
        <v>1161</v>
      </c>
      <c r="J329" s="121"/>
      <c r="K329" s="121" t="s">
        <v>384</v>
      </c>
      <c r="L329" s="121"/>
      <c r="M329" s="121" t="s">
        <v>941</v>
      </c>
      <c r="N329" s="121"/>
      <c r="O329" s="112">
        <v>2367.1799999999998</v>
      </c>
      <c r="P329" s="1"/>
    </row>
    <row r="330" spans="1:16" ht="12.75" x14ac:dyDescent="0.2">
      <c r="A330" s="121"/>
      <c r="B330" s="121"/>
      <c r="C330" s="121"/>
      <c r="D330" s="121"/>
      <c r="E330" s="121" t="s">
        <v>307</v>
      </c>
      <c r="F330" s="121"/>
      <c r="G330" s="122">
        <v>45327</v>
      </c>
      <c r="H330" s="121"/>
      <c r="I330" s="121" t="s">
        <v>701</v>
      </c>
      <c r="J330" s="121"/>
      <c r="K330" s="121" t="s">
        <v>144</v>
      </c>
      <c r="L330" s="121"/>
      <c r="M330" s="121" t="s">
        <v>462</v>
      </c>
      <c r="N330" s="121"/>
      <c r="O330" s="112">
        <v>192</v>
      </c>
      <c r="P330" s="1"/>
    </row>
    <row r="331" spans="1:16" ht="12.75" x14ac:dyDescent="0.2">
      <c r="A331" s="121"/>
      <c r="B331" s="121"/>
      <c r="C331" s="121"/>
      <c r="D331" s="121"/>
      <c r="E331" s="121" t="s">
        <v>307</v>
      </c>
      <c r="F331" s="121"/>
      <c r="G331" s="122">
        <v>45358</v>
      </c>
      <c r="H331" s="121"/>
      <c r="I331" s="121" t="s">
        <v>702</v>
      </c>
      <c r="J331" s="121"/>
      <c r="K331" s="121" t="s">
        <v>144</v>
      </c>
      <c r="L331" s="121"/>
      <c r="M331" s="121" t="s">
        <v>464</v>
      </c>
      <c r="N331" s="121"/>
      <c r="O331" s="112">
        <v>187</v>
      </c>
      <c r="P331" s="1"/>
    </row>
    <row r="332" spans="1:16" ht="12.75" x14ac:dyDescent="0.2">
      <c r="A332" s="121"/>
      <c r="B332" s="121"/>
      <c r="C332" s="121"/>
      <c r="D332" s="121"/>
      <c r="E332" s="121" t="s">
        <v>307</v>
      </c>
      <c r="F332" s="121"/>
      <c r="G332" s="122">
        <v>45394</v>
      </c>
      <c r="H332" s="121"/>
      <c r="I332" s="121" t="s">
        <v>703</v>
      </c>
      <c r="J332" s="121"/>
      <c r="K332" s="121" t="s">
        <v>144</v>
      </c>
      <c r="L332" s="121"/>
      <c r="M332" s="121" t="s">
        <v>420</v>
      </c>
      <c r="N332" s="121"/>
      <c r="O332" s="112">
        <v>294</v>
      </c>
      <c r="P332" s="1"/>
    </row>
    <row r="333" spans="1:16" ht="12.75" x14ac:dyDescent="0.2">
      <c r="A333" s="121"/>
      <c r="B333" s="121"/>
      <c r="C333" s="121"/>
      <c r="D333" s="121"/>
      <c r="E333" s="121" t="s">
        <v>307</v>
      </c>
      <c r="F333" s="121"/>
      <c r="G333" s="122">
        <v>45421</v>
      </c>
      <c r="H333" s="121"/>
      <c r="I333" s="121" t="s">
        <v>704</v>
      </c>
      <c r="J333" s="121"/>
      <c r="K333" s="121" t="s">
        <v>144</v>
      </c>
      <c r="L333" s="121"/>
      <c r="M333" s="121" t="s">
        <v>322</v>
      </c>
      <c r="N333" s="121"/>
      <c r="O333" s="112">
        <v>219</v>
      </c>
      <c r="P333" s="1"/>
    </row>
    <row r="334" spans="1:16" ht="12.75" x14ac:dyDescent="0.2">
      <c r="A334" s="121"/>
      <c r="B334" s="121"/>
      <c r="C334" s="121"/>
      <c r="D334" s="121"/>
      <c r="E334" s="121" t="s">
        <v>307</v>
      </c>
      <c r="F334" s="121"/>
      <c r="G334" s="122">
        <v>45448</v>
      </c>
      <c r="H334" s="121"/>
      <c r="I334" s="121" t="s">
        <v>385</v>
      </c>
      <c r="J334" s="121"/>
      <c r="K334" s="121" t="s">
        <v>144</v>
      </c>
      <c r="L334" s="121"/>
      <c r="M334" s="121" t="s">
        <v>311</v>
      </c>
      <c r="N334" s="121"/>
      <c r="O334" s="112">
        <v>182</v>
      </c>
      <c r="P334" s="1"/>
    </row>
    <row r="335" spans="1:16" ht="12.75" x14ac:dyDescent="0.2">
      <c r="A335" s="121"/>
      <c r="B335" s="121"/>
      <c r="C335" s="121"/>
      <c r="D335" s="121"/>
      <c r="E335" s="121" t="s">
        <v>307</v>
      </c>
      <c r="F335" s="121"/>
      <c r="G335" s="122">
        <v>45482</v>
      </c>
      <c r="H335" s="121"/>
      <c r="I335" s="121" t="s">
        <v>989</v>
      </c>
      <c r="J335" s="121"/>
      <c r="K335" s="121" t="s">
        <v>144</v>
      </c>
      <c r="L335" s="121"/>
      <c r="M335" s="121" t="s">
        <v>314</v>
      </c>
      <c r="N335" s="121"/>
      <c r="O335" s="112">
        <v>194</v>
      </c>
      <c r="P335" s="1"/>
    </row>
    <row r="336" spans="1:16" ht="12.75" x14ac:dyDescent="0.2">
      <c r="A336" s="121"/>
      <c r="B336" s="121"/>
      <c r="C336" s="121"/>
      <c r="D336" s="121"/>
      <c r="E336" s="121" t="s">
        <v>307</v>
      </c>
      <c r="F336" s="121"/>
      <c r="G336" s="122">
        <v>45510</v>
      </c>
      <c r="H336" s="121"/>
      <c r="I336" s="121" t="s">
        <v>1162</v>
      </c>
      <c r="J336" s="121"/>
      <c r="K336" s="121" t="s">
        <v>144</v>
      </c>
      <c r="L336" s="121"/>
      <c r="M336" s="121" t="s">
        <v>941</v>
      </c>
      <c r="N336" s="121"/>
      <c r="O336" s="112">
        <v>148</v>
      </c>
      <c r="P336" s="1"/>
    </row>
    <row r="337" spans="1:16" ht="12.75" x14ac:dyDescent="0.2">
      <c r="A337" s="121"/>
      <c r="B337" s="121"/>
      <c r="C337" s="121"/>
      <c r="D337" s="121"/>
      <c r="E337" s="121" t="s">
        <v>307</v>
      </c>
      <c r="F337" s="121"/>
      <c r="G337" s="122">
        <v>45335</v>
      </c>
      <c r="H337" s="121"/>
      <c r="I337" s="121" t="s">
        <v>705</v>
      </c>
      <c r="J337" s="121"/>
      <c r="K337" s="121" t="s">
        <v>387</v>
      </c>
      <c r="L337" s="121"/>
      <c r="M337" s="121" t="s">
        <v>464</v>
      </c>
      <c r="N337" s="121"/>
      <c r="O337" s="112">
        <v>208.33</v>
      </c>
      <c r="P337" s="1"/>
    </row>
    <row r="338" spans="1:16" ht="12.75" x14ac:dyDescent="0.2">
      <c r="A338" s="121"/>
      <c r="B338" s="121"/>
      <c r="C338" s="121"/>
      <c r="D338" s="121"/>
      <c r="E338" s="121" t="s">
        <v>307</v>
      </c>
      <c r="F338" s="121"/>
      <c r="G338" s="122">
        <v>45365</v>
      </c>
      <c r="H338" s="121"/>
      <c r="I338" s="121" t="s">
        <v>706</v>
      </c>
      <c r="J338" s="121"/>
      <c r="K338" s="121" t="s">
        <v>387</v>
      </c>
      <c r="L338" s="121"/>
      <c r="M338" s="121" t="s">
        <v>420</v>
      </c>
      <c r="N338" s="121"/>
      <c r="O338" s="112">
        <v>208.33</v>
      </c>
      <c r="P338" s="1"/>
    </row>
    <row r="339" spans="1:16" ht="12.75" x14ac:dyDescent="0.2">
      <c r="A339" s="121"/>
      <c r="B339" s="121"/>
      <c r="C339" s="121"/>
      <c r="D339" s="121"/>
      <c r="E339" s="121" t="s">
        <v>307</v>
      </c>
      <c r="F339" s="121"/>
      <c r="G339" s="122">
        <v>45393</v>
      </c>
      <c r="H339" s="121"/>
      <c r="I339" s="121" t="s">
        <v>707</v>
      </c>
      <c r="J339" s="121"/>
      <c r="K339" s="121" t="s">
        <v>387</v>
      </c>
      <c r="L339" s="121"/>
      <c r="M339" s="121" t="s">
        <v>322</v>
      </c>
      <c r="N339" s="121"/>
      <c r="O339" s="112">
        <v>208.33</v>
      </c>
      <c r="P339" s="1"/>
    </row>
    <row r="340" spans="1:16" ht="12.75" x14ac:dyDescent="0.2">
      <c r="A340" s="121"/>
      <c r="B340" s="121"/>
      <c r="C340" s="121"/>
      <c r="D340" s="121"/>
      <c r="E340" s="121" t="s">
        <v>307</v>
      </c>
      <c r="F340" s="121"/>
      <c r="G340" s="122">
        <v>45440</v>
      </c>
      <c r="H340" s="121"/>
      <c r="I340" s="121" t="s">
        <v>708</v>
      </c>
      <c r="J340" s="121"/>
      <c r="K340" s="121" t="s">
        <v>387</v>
      </c>
      <c r="L340" s="121"/>
      <c r="M340" s="121" t="s">
        <v>311</v>
      </c>
      <c r="N340" s="121"/>
      <c r="O340" s="112">
        <v>208.33</v>
      </c>
      <c r="P340" s="1"/>
    </row>
    <row r="341" spans="1:16" ht="12.75" x14ac:dyDescent="0.2">
      <c r="A341" s="121"/>
      <c r="B341" s="121"/>
      <c r="C341" s="121"/>
      <c r="D341" s="121"/>
      <c r="E341" s="121" t="s">
        <v>307</v>
      </c>
      <c r="F341" s="121"/>
      <c r="G341" s="122">
        <v>45453</v>
      </c>
      <c r="H341" s="121"/>
      <c r="I341" s="121" t="s">
        <v>386</v>
      </c>
      <c r="J341" s="121"/>
      <c r="K341" s="121" t="s">
        <v>387</v>
      </c>
      <c r="L341" s="121"/>
      <c r="M341" s="121" t="s">
        <v>314</v>
      </c>
      <c r="N341" s="121"/>
      <c r="O341" s="112">
        <v>208.33</v>
      </c>
      <c r="P341" s="1"/>
    </row>
    <row r="342" spans="1:16" ht="12.75" x14ac:dyDescent="0.2">
      <c r="A342" s="121"/>
      <c r="B342" s="121"/>
      <c r="C342" s="121"/>
      <c r="D342" s="121"/>
      <c r="E342" s="121" t="s">
        <v>307</v>
      </c>
      <c r="F342" s="121"/>
      <c r="G342" s="122">
        <v>45483</v>
      </c>
      <c r="H342" s="121"/>
      <c r="I342" s="121" t="s">
        <v>990</v>
      </c>
      <c r="J342" s="121"/>
      <c r="K342" s="121" t="s">
        <v>387</v>
      </c>
      <c r="L342" s="121"/>
      <c r="M342" s="121" t="s">
        <v>941</v>
      </c>
      <c r="N342" s="121"/>
      <c r="O342" s="112">
        <v>208.33</v>
      </c>
      <c r="P342" s="1"/>
    </row>
    <row r="343" spans="1:16" ht="12.75" x14ac:dyDescent="0.2">
      <c r="A343" s="121"/>
      <c r="B343" s="121"/>
      <c r="C343" s="121"/>
      <c r="D343" s="121"/>
      <c r="E343" s="121" t="s">
        <v>307</v>
      </c>
      <c r="F343" s="121"/>
      <c r="G343" s="122">
        <v>45517</v>
      </c>
      <c r="H343" s="121"/>
      <c r="I343" s="121" t="s">
        <v>1163</v>
      </c>
      <c r="J343" s="121"/>
      <c r="K343" s="121" t="s">
        <v>387</v>
      </c>
      <c r="L343" s="121"/>
      <c r="M343" s="121" t="s">
        <v>970</v>
      </c>
      <c r="N343" s="121"/>
      <c r="O343" s="112">
        <v>208.33</v>
      </c>
      <c r="P343" s="1"/>
    </row>
    <row r="344" spans="1:16" ht="12.75" x14ac:dyDescent="0.2">
      <c r="A344" s="121"/>
      <c r="B344" s="121"/>
      <c r="C344" s="121"/>
      <c r="D344" s="121"/>
      <c r="E344" s="121" t="s">
        <v>307</v>
      </c>
      <c r="F344" s="121"/>
      <c r="G344" s="122">
        <v>45338</v>
      </c>
      <c r="H344" s="121"/>
      <c r="I344" s="121" t="s">
        <v>709</v>
      </c>
      <c r="J344" s="121"/>
      <c r="K344" s="121" t="s">
        <v>389</v>
      </c>
      <c r="L344" s="121"/>
      <c r="M344" s="121" t="s">
        <v>462</v>
      </c>
      <c r="N344" s="121"/>
      <c r="O344" s="112">
        <v>3541.67</v>
      </c>
      <c r="P344" s="1"/>
    </row>
    <row r="345" spans="1:16" ht="12.75" x14ac:dyDescent="0.2">
      <c r="A345" s="121"/>
      <c r="B345" s="121"/>
      <c r="C345" s="121"/>
      <c r="D345" s="121"/>
      <c r="E345" s="121" t="s">
        <v>307</v>
      </c>
      <c r="F345" s="121"/>
      <c r="G345" s="122">
        <v>45338</v>
      </c>
      <c r="H345" s="121"/>
      <c r="I345" s="121" t="s">
        <v>710</v>
      </c>
      <c r="J345" s="121"/>
      <c r="K345" s="121" t="s">
        <v>389</v>
      </c>
      <c r="L345" s="121"/>
      <c r="M345" s="121" t="s">
        <v>464</v>
      </c>
      <c r="N345" s="121"/>
      <c r="O345" s="112">
        <v>3541.67</v>
      </c>
      <c r="P345" s="1"/>
    </row>
    <row r="346" spans="1:16" ht="12.75" x14ac:dyDescent="0.2">
      <c r="A346" s="121"/>
      <c r="B346" s="121"/>
      <c r="C346" s="121"/>
      <c r="D346" s="121"/>
      <c r="E346" s="121" t="s">
        <v>307</v>
      </c>
      <c r="F346" s="121"/>
      <c r="G346" s="122">
        <v>45369</v>
      </c>
      <c r="H346" s="121"/>
      <c r="I346" s="121" t="s">
        <v>711</v>
      </c>
      <c r="J346" s="121"/>
      <c r="K346" s="121" t="s">
        <v>389</v>
      </c>
      <c r="L346" s="121"/>
      <c r="M346" s="121" t="s">
        <v>420</v>
      </c>
      <c r="N346" s="121"/>
      <c r="O346" s="112">
        <v>3541.67</v>
      </c>
      <c r="P346" s="1"/>
    </row>
    <row r="347" spans="1:16" ht="12.75" x14ac:dyDescent="0.2">
      <c r="A347" s="121"/>
      <c r="B347" s="121"/>
      <c r="C347" s="121"/>
      <c r="D347" s="121"/>
      <c r="E347" s="121" t="s">
        <v>307</v>
      </c>
      <c r="F347" s="121"/>
      <c r="G347" s="122">
        <v>45394</v>
      </c>
      <c r="H347" s="121"/>
      <c r="I347" s="121" t="s">
        <v>712</v>
      </c>
      <c r="J347" s="121"/>
      <c r="K347" s="121" t="s">
        <v>389</v>
      </c>
      <c r="L347" s="121"/>
      <c r="M347" s="121" t="s">
        <v>322</v>
      </c>
      <c r="N347" s="121"/>
      <c r="O347" s="112">
        <v>3541.67</v>
      </c>
      <c r="P347" s="1"/>
    </row>
    <row r="348" spans="1:16" ht="12.75" x14ac:dyDescent="0.2">
      <c r="A348" s="121"/>
      <c r="B348" s="121"/>
      <c r="C348" s="121"/>
      <c r="D348" s="121"/>
      <c r="E348" s="121" t="s">
        <v>307</v>
      </c>
      <c r="F348" s="121"/>
      <c r="G348" s="122">
        <v>45433</v>
      </c>
      <c r="H348" s="121"/>
      <c r="I348" s="121" t="s">
        <v>713</v>
      </c>
      <c r="J348" s="121"/>
      <c r="K348" s="121" t="s">
        <v>389</v>
      </c>
      <c r="L348" s="121"/>
      <c r="M348" s="121" t="s">
        <v>311</v>
      </c>
      <c r="N348" s="121"/>
      <c r="O348" s="112">
        <v>3541.67</v>
      </c>
      <c r="P348" s="1"/>
    </row>
    <row r="349" spans="1:16" ht="12.75" x14ac:dyDescent="0.2">
      <c r="A349" s="121"/>
      <c r="B349" s="121"/>
      <c r="C349" s="121"/>
      <c r="D349" s="121"/>
      <c r="E349" s="121" t="s">
        <v>307</v>
      </c>
      <c r="F349" s="121"/>
      <c r="G349" s="122">
        <v>45471</v>
      </c>
      <c r="H349" s="121"/>
      <c r="I349" s="121" t="s">
        <v>388</v>
      </c>
      <c r="J349" s="121"/>
      <c r="K349" s="121" t="s">
        <v>389</v>
      </c>
      <c r="L349" s="121"/>
      <c r="M349" s="121" t="s">
        <v>314</v>
      </c>
      <c r="N349" s="121"/>
      <c r="O349" s="112">
        <v>3541.67</v>
      </c>
      <c r="P349" s="1"/>
    </row>
    <row r="350" spans="1:16" ht="12.75" x14ac:dyDescent="0.2">
      <c r="A350" s="121"/>
      <c r="B350" s="121"/>
      <c r="C350" s="121"/>
      <c r="D350" s="121"/>
      <c r="E350" s="121" t="s">
        <v>307</v>
      </c>
      <c r="F350" s="121"/>
      <c r="G350" s="122">
        <v>45517</v>
      </c>
      <c r="H350" s="121"/>
      <c r="I350" s="121" t="s">
        <v>1164</v>
      </c>
      <c r="J350" s="121"/>
      <c r="K350" s="121" t="s">
        <v>389</v>
      </c>
      <c r="L350" s="121"/>
      <c r="M350" s="121" t="s">
        <v>941</v>
      </c>
      <c r="N350" s="121"/>
      <c r="O350" s="112">
        <v>3541.67</v>
      </c>
      <c r="P350" s="1"/>
    </row>
    <row r="351" spans="1:16" ht="12.75" x14ac:dyDescent="0.2">
      <c r="A351" s="121"/>
      <c r="B351" s="121"/>
      <c r="C351" s="121"/>
      <c r="D351" s="121"/>
      <c r="E351" s="121" t="s">
        <v>307</v>
      </c>
      <c r="F351" s="121"/>
      <c r="G351" s="122">
        <v>45523</v>
      </c>
      <c r="H351" s="121"/>
      <c r="I351" s="121" t="s">
        <v>1165</v>
      </c>
      <c r="J351" s="121"/>
      <c r="K351" s="121" t="s">
        <v>389</v>
      </c>
      <c r="L351" s="121"/>
      <c r="M351" s="121" t="s">
        <v>970</v>
      </c>
      <c r="N351" s="121"/>
      <c r="O351" s="112">
        <v>3541.67</v>
      </c>
      <c r="P351" s="1"/>
    </row>
    <row r="352" spans="1:16" ht="12.75" x14ac:dyDescent="0.2">
      <c r="A352" s="121"/>
      <c r="B352" s="121"/>
      <c r="C352" s="121"/>
      <c r="D352" s="121"/>
      <c r="E352" s="121" t="s">
        <v>307</v>
      </c>
      <c r="F352" s="121"/>
      <c r="G352" s="122">
        <v>45303</v>
      </c>
      <c r="H352" s="121"/>
      <c r="I352" s="121" t="s">
        <v>714</v>
      </c>
      <c r="J352" s="121"/>
      <c r="K352" s="121" t="s">
        <v>44</v>
      </c>
      <c r="L352" s="121"/>
      <c r="M352" s="121" t="s">
        <v>462</v>
      </c>
      <c r="N352" s="121"/>
      <c r="O352" s="112">
        <v>500</v>
      </c>
      <c r="P352" s="1"/>
    </row>
    <row r="353" spans="1:16" ht="12.75" x14ac:dyDescent="0.2">
      <c r="A353" s="121"/>
      <c r="B353" s="121"/>
      <c r="C353" s="121"/>
      <c r="D353" s="121"/>
      <c r="E353" s="121" t="s">
        <v>307</v>
      </c>
      <c r="F353" s="121"/>
      <c r="G353" s="122">
        <v>45337</v>
      </c>
      <c r="H353" s="121"/>
      <c r="I353" s="121" t="s">
        <v>715</v>
      </c>
      <c r="J353" s="121"/>
      <c r="K353" s="121" t="s">
        <v>44</v>
      </c>
      <c r="L353" s="121"/>
      <c r="M353" s="121" t="s">
        <v>464</v>
      </c>
      <c r="N353" s="121"/>
      <c r="O353" s="112">
        <v>584</v>
      </c>
      <c r="P353" s="1"/>
    </row>
    <row r="354" spans="1:16" ht="12.75" x14ac:dyDescent="0.2">
      <c r="A354" s="121"/>
      <c r="B354" s="121"/>
      <c r="C354" s="121"/>
      <c r="D354" s="121"/>
      <c r="E354" s="121" t="s">
        <v>307</v>
      </c>
      <c r="F354" s="121"/>
      <c r="G354" s="122">
        <v>45366</v>
      </c>
      <c r="H354" s="121"/>
      <c r="I354" s="121" t="s">
        <v>716</v>
      </c>
      <c r="J354" s="121"/>
      <c r="K354" s="121" t="s">
        <v>44</v>
      </c>
      <c r="L354" s="121"/>
      <c r="M354" s="121" t="s">
        <v>420</v>
      </c>
      <c r="N354" s="121"/>
      <c r="O354" s="112">
        <v>542</v>
      </c>
      <c r="P354" s="1"/>
    </row>
    <row r="355" spans="1:16" ht="12.75" x14ac:dyDescent="0.2">
      <c r="A355" s="121"/>
      <c r="B355" s="121"/>
      <c r="C355" s="121"/>
      <c r="D355" s="121"/>
      <c r="E355" s="121" t="s">
        <v>307</v>
      </c>
      <c r="F355" s="121"/>
      <c r="G355" s="122">
        <v>45397</v>
      </c>
      <c r="H355" s="121"/>
      <c r="I355" s="121" t="s">
        <v>717</v>
      </c>
      <c r="J355" s="121"/>
      <c r="K355" s="121" t="s">
        <v>44</v>
      </c>
      <c r="L355" s="121"/>
      <c r="M355" s="121" t="s">
        <v>322</v>
      </c>
      <c r="N355" s="121"/>
      <c r="O355" s="112">
        <v>542</v>
      </c>
      <c r="P355" s="1"/>
    </row>
    <row r="356" spans="1:16" ht="12.75" x14ac:dyDescent="0.2">
      <c r="A356" s="121"/>
      <c r="B356" s="121"/>
      <c r="C356" s="121"/>
      <c r="D356" s="121"/>
      <c r="E356" s="121" t="s">
        <v>307</v>
      </c>
      <c r="F356" s="121"/>
      <c r="G356" s="122">
        <v>45427</v>
      </c>
      <c r="H356" s="121"/>
      <c r="I356" s="121" t="s">
        <v>718</v>
      </c>
      <c r="J356" s="121"/>
      <c r="K356" s="121" t="s">
        <v>44</v>
      </c>
      <c r="L356" s="121"/>
      <c r="M356" s="121" t="s">
        <v>311</v>
      </c>
      <c r="N356" s="121"/>
      <c r="O356" s="112">
        <v>542</v>
      </c>
      <c r="P356" s="1"/>
    </row>
    <row r="357" spans="1:16" ht="12.75" x14ac:dyDescent="0.2">
      <c r="A357" s="121"/>
      <c r="B357" s="121"/>
      <c r="C357" s="121"/>
      <c r="D357" s="121"/>
      <c r="E357" s="121" t="s">
        <v>307</v>
      </c>
      <c r="F357" s="121"/>
      <c r="G357" s="122">
        <v>45458</v>
      </c>
      <c r="H357" s="121"/>
      <c r="I357" s="121" t="s">
        <v>390</v>
      </c>
      <c r="J357" s="121"/>
      <c r="K357" s="121" t="s">
        <v>44</v>
      </c>
      <c r="L357" s="121"/>
      <c r="M357" s="121" t="s">
        <v>314</v>
      </c>
      <c r="N357" s="121"/>
      <c r="O357" s="112">
        <v>542</v>
      </c>
      <c r="P357" s="1"/>
    </row>
    <row r="358" spans="1:16" ht="12.75" x14ac:dyDescent="0.2">
      <c r="A358" s="121"/>
      <c r="B358" s="121"/>
      <c r="C358" s="121"/>
      <c r="D358" s="121"/>
      <c r="E358" s="121" t="s">
        <v>307</v>
      </c>
      <c r="F358" s="121"/>
      <c r="G358" s="122">
        <v>45488</v>
      </c>
      <c r="H358" s="121"/>
      <c r="I358" s="121" t="s">
        <v>991</v>
      </c>
      <c r="J358" s="121"/>
      <c r="K358" s="121" t="s">
        <v>44</v>
      </c>
      <c r="L358" s="121"/>
      <c r="M358" s="121" t="s">
        <v>941</v>
      </c>
      <c r="N358" s="121"/>
      <c r="O358" s="112">
        <v>542</v>
      </c>
      <c r="P358" s="1"/>
    </row>
    <row r="359" spans="1:16" ht="12.75" x14ac:dyDescent="0.2">
      <c r="A359" s="121"/>
      <c r="B359" s="121"/>
      <c r="C359" s="121"/>
      <c r="D359" s="121"/>
      <c r="E359" s="121" t="s">
        <v>307</v>
      </c>
      <c r="F359" s="121"/>
      <c r="G359" s="122">
        <v>45519</v>
      </c>
      <c r="H359" s="121"/>
      <c r="I359" s="121" t="s">
        <v>1166</v>
      </c>
      <c r="J359" s="121"/>
      <c r="K359" s="121" t="s">
        <v>44</v>
      </c>
      <c r="L359" s="121"/>
      <c r="M359" s="121" t="s">
        <v>970</v>
      </c>
      <c r="N359" s="121"/>
      <c r="O359" s="112">
        <v>542</v>
      </c>
      <c r="P359" s="1"/>
    </row>
    <row r="360" spans="1:16" ht="12.75" x14ac:dyDescent="0.2">
      <c r="A360" s="121"/>
      <c r="B360" s="121"/>
      <c r="C360" s="121"/>
      <c r="D360" s="121"/>
      <c r="E360" s="121" t="s">
        <v>307</v>
      </c>
      <c r="F360" s="121"/>
      <c r="G360" s="122">
        <v>45309</v>
      </c>
      <c r="H360" s="121"/>
      <c r="I360" s="121" t="s">
        <v>719</v>
      </c>
      <c r="J360" s="121"/>
      <c r="K360" s="121" t="s">
        <v>392</v>
      </c>
      <c r="L360" s="121"/>
      <c r="M360" s="121" t="s">
        <v>482</v>
      </c>
      <c r="N360" s="121"/>
      <c r="O360" s="112">
        <v>5239</v>
      </c>
      <c r="P360" s="1"/>
    </row>
    <row r="361" spans="1:16" ht="12.75" x14ac:dyDescent="0.2">
      <c r="A361" s="121"/>
      <c r="B361" s="121"/>
      <c r="C361" s="121"/>
      <c r="D361" s="121"/>
      <c r="E361" s="121" t="s">
        <v>307</v>
      </c>
      <c r="F361" s="121"/>
      <c r="G361" s="122">
        <v>45362</v>
      </c>
      <c r="H361" s="121"/>
      <c r="I361" s="121" t="s">
        <v>720</v>
      </c>
      <c r="J361" s="121"/>
      <c r="K361" s="121" t="s">
        <v>392</v>
      </c>
      <c r="L361" s="121"/>
      <c r="M361" s="121" t="s">
        <v>464</v>
      </c>
      <c r="N361" s="121"/>
      <c r="O361" s="112">
        <v>9077</v>
      </c>
      <c r="P361" s="1"/>
    </row>
    <row r="362" spans="1:16" ht="12.75" x14ac:dyDescent="0.2">
      <c r="A362" s="121"/>
      <c r="B362" s="121"/>
      <c r="C362" s="121"/>
      <c r="D362" s="121"/>
      <c r="E362" s="121" t="s">
        <v>307</v>
      </c>
      <c r="F362" s="121"/>
      <c r="G362" s="122">
        <v>45387</v>
      </c>
      <c r="H362" s="121"/>
      <c r="I362" s="121" t="s">
        <v>721</v>
      </c>
      <c r="J362" s="121"/>
      <c r="K362" s="121" t="s">
        <v>392</v>
      </c>
      <c r="L362" s="121"/>
      <c r="M362" s="121" t="s">
        <v>420</v>
      </c>
      <c r="N362" s="121"/>
      <c r="O362" s="112">
        <v>6340</v>
      </c>
      <c r="P362" s="1"/>
    </row>
    <row r="363" spans="1:16" ht="12.75" x14ac:dyDescent="0.2">
      <c r="A363" s="121"/>
      <c r="B363" s="121"/>
      <c r="C363" s="121"/>
      <c r="D363" s="121"/>
      <c r="E363" s="121" t="s">
        <v>307</v>
      </c>
      <c r="F363" s="121"/>
      <c r="G363" s="122">
        <v>45330</v>
      </c>
      <c r="H363" s="121"/>
      <c r="I363" s="121" t="s">
        <v>722</v>
      </c>
      <c r="J363" s="121"/>
      <c r="K363" s="121" t="s">
        <v>392</v>
      </c>
      <c r="L363" s="121"/>
      <c r="M363" s="121" t="s">
        <v>462</v>
      </c>
      <c r="N363" s="121"/>
      <c r="O363" s="112">
        <v>7904</v>
      </c>
      <c r="P363" s="1"/>
    </row>
    <row r="364" spans="1:16" ht="12.75" x14ac:dyDescent="0.2">
      <c r="A364" s="121"/>
      <c r="B364" s="121"/>
      <c r="C364" s="121"/>
      <c r="D364" s="121"/>
      <c r="E364" s="121" t="s">
        <v>307</v>
      </c>
      <c r="F364" s="121"/>
      <c r="G364" s="122">
        <v>45420</v>
      </c>
      <c r="H364" s="121"/>
      <c r="I364" s="121" t="s">
        <v>723</v>
      </c>
      <c r="J364" s="121"/>
      <c r="K364" s="121" t="s">
        <v>392</v>
      </c>
      <c r="L364" s="121"/>
      <c r="M364" s="121" t="s">
        <v>322</v>
      </c>
      <c r="N364" s="121"/>
      <c r="O364" s="112">
        <v>4325</v>
      </c>
      <c r="P364" s="1"/>
    </row>
    <row r="365" spans="1:16" ht="12.75" x14ac:dyDescent="0.2">
      <c r="A365" s="121"/>
      <c r="B365" s="121"/>
      <c r="C365" s="121"/>
      <c r="D365" s="121"/>
      <c r="E365" s="121" t="s">
        <v>307</v>
      </c>
      <c r="F365" s="121"/>
      <c r="G365" s="122">
        <v>45449</v>
      </c>
      <c r="H365" s="121"/>
      <c r="I365" s="121" t="s">
        <v>391</v>
      </c>
      <c r="J365" s="121"/>
      <c r="K365" s="121" t="s">
        <v>392</v>
      </c>
      <c r="L365" s="121"/>
      <c r="M365" s="121" t="s">
        <v>311</v>
      </c>
      <c r="N365" s="121"/>
      <c r="O365" s="112">
        <v>4154</v>
      </c>
      <c r="P365" s="1"/>
    </row>
    <row r="366" spans="1:16" ht="12.75" x14ac:dyDescent="0.2">
      <c r="A366" s="121"/>
      <c r="B366" s="121"/>
      <c r="C366" s="121"/>
      <c r="D366" s="121"/>
      <c r="E366" s="121" t="s">
        <v>307</v>
      </c>
      <c r="F366" s="121"/>
      <c r="G366" s="122">
        <v>45478</v>
      </c>
      <c r="H366" s="121"/>
      <c r="I366" s="121" t="s">
        <v>992</v>
      </c>
      <c r="J366" s="121"/>
      <c r="K366" s="121" t="s">
        <v>392</v>
      </c>
      <c r="L366" s="121"/>
      <c r="M366" s="121" t="s">
        <v>314</v>
      </c>
      <c r="N366" s="121"/>
      <c r="O366" s="112">
        <v>7918</v>
      </c>
      <c r="P366" s="1"/>
    </row>
    <row r="367" spans="1:16" ht="12.75" x14ac:dyDescent="0.2">
      <c r="A367" s="121"/>
      <c r="B367" s="121"/>
      <c r="C367" s="121"/>
      <c r="D367" s="121"/>
      <c r="E367" s="121" t="s">
        <v>307</v>
      </c>
      <c r="F367" s="121"/>
      <c r="G367" s="122">
        <v>45511</v>
      </c>
      <c r="H367" s="121"/>
      <c r="I367" s="121" t="s">
        <v>1167</v>
      </c>
      <c r="J367" s="121"/>
      <c r="K367" s="121" t="s">
        <v>392</v>
      </c>
      <c r="L367" s="121"/>
      <c r="M367" s="121" t="s">
        <v>941</v>
      </c>
      <c r="N367" s="121"/>
      <c r="O367" s="112">
        <v>4391</v>
      </c>
      <c r="P367" s="1"/>
    </row>
    <row r="368" spans="1:16" ht="12.75" x14ac:dyDescent="0.2">
      <c r="A368" s="121"/>
      <c r="B368" s="121"/>
      <c r="C368" s="121"/>
      <c r="D368" s="121"/>
      <c r="E368" s="121" t="s">
        <v>307</v>
      </c>
      <c r="F368" s="121"/>
      <c r="G368" s="122">
        <v>45293</v>
      </c>
      <c r="H368" s="121"/>
      <c r="I368" s="121" t="s">
        <v>724</v>
      </c>
      <c r="J368" s="121"/>
      <c r="K368" s="121" t="s">
        <v>725</v>
      </c>
      <c r="L368" s="121"/>
      <c r="M368" s="121" t="s">
        <v>726</v>
      </c>
      <c r="N368" s="121"/>
      <c r="O368" s="112">
        <v>200</v>
      </c>
      <c r="P368" s="1"/>
    </row>
    <row r="369" spans="1:16" ht="12.75" x14ac:dyDescent="0.2">
      <c r="A369" s="121"/>
      <c r="B369" s="121"/>
      <c r="C369" s="121"/>
      <c r="D369" s="121"/>
      <c r="E369" s="121" t="s">
        <v>307</v>
      </c>
      <c r="F369" s="121"/>
      <c r="G369" s="122">
        <v>45350</v>
      </c>
      <c r="H369" s="121"/>
      <c r="I369" s="121" t="s">
        <v>727</v>
      </c>
      <c r="J369" s="121"/>
      <c r="K369" s="121" t="s">
        <v>725</v>
      </c>
      <c r="L369" s="121"/>
      <c r="M369" s="121" t="s">
        <v>507</v>
      </c>
      <c r="N369" s="121"/>
      <c r="O369" s="112">
        <v>200</v>
      </c>
      <c r="P369" s="1"/>
    </row>
    <row r="370" spans="1:16" ht="12.75" x14ac:dyDescent="0.2">
      <c r="A370" s="121"/>
      <c r="B370" s="121"/>
      <c r="C370" s="121"/>
      <c r="D370" s="121"/>
      <c r="E370" s="121" t="s">
        <v>307</v>
      </c>
      <c r="F370" s="121"/>
      <c r="G370" s="122">
        <v>45412</v>
      </c>
      <c r="H370" s="121"/>
      <c r="I370" s="121" t="s">
        <v>728</v>
      </c>
      <c r="J370" s="121"/>
      <c r="K370" s="121" t="s">
        <v>725</v>
      </c>
      <c r="L370" s="121"/>
      <c r="M370" s="121" t="s">
        <v>361</v>
      </c>
      <c r="N370" s="121"/>
      <c r="O370" s="112">
        <v>200</v>
      </c>
      <c r="P370" s="1"/>
    </row>
    <row r="371" spans="1:16" ht="12.75" x14ac:dyDescent="0.2">
      <c r="A371" s="121"/>
      <c r="B371" s="121"/>
      <c r="C371" s="121"/>
      <c r="D371" s="121"/>
      <c r="E371" s="121" t="s">
        <v>307</v>
      </c>
      <c r="F371" s="121"/>
      <c r="G371" s="122">
        <v>45474</v>
      </c>
      <c r="H371" s="121"/>
      <c r="I371" s="121" t="s">
        <v>993</v>
      </c>
      <c r="J371" s="121"/>
      <c r="K371" s="121" t="s">
        <v>725</v>
      </c>
      <c r="L371" s="121"/>
      <c r="M371" s="121" t="s">
        <v>994</v>
      </c>
      <c r="N371" s="121"/>
      <c r="O371" s="112">
        <v>200</v>
      </c>
      <c r="P371" s="1"/>
    </row>
    <row r="372" spans="1:16" ht="12.75" x14ac:dyDescent="0.2">
      <c r="A372" s="121"/>
      <c r="B372" s="121"/>
      <c r="C372" s="121"/>
      <c r="D372" s="121"/>
      <c r="E372" s="121" t="s">
        <v>307</v>
      </c>
      <c r="F372" s="121"/>
      <c r="G372" s="122">
        <v>45534</v>
      </c>
      <c r="H372" s="121"/>
      <c r="I372" s="121" t="s">
        <v>1168</v>
      </c>
      <c r="J372" s="121"/>
      <c r="K372" s="121" t="s">
        <v>725</v>
      </c>
      <c r="L372" s="121"/>
      <c r="M372" s="121" t="s">
        <v>1169</v>
      </c>
      <c r="N372" s="121"/>
      <c r="O372" s="112">
        <v>200</v>
      </c>
      <c r="P372" s="1"/>
    </row>
    <row r="373" spans="1:16" ht="12.75" x14ac:dyDescent="0.2">
      <c r="A373" s="121"/>
      <c r="B373" s="121"/>
      <c r="C373" s="121"/>
      <c r="D373" s="121"/>
      <c r="E373" s="121" t="s">
        <v>307</v>
      </c>
      <c r="F373" s="121"/>
      <c r="G373" s="122">
        <v>45321</v>
      </c>
      <c r="H373" s="121"/>
      <c r="I373" s="121" t="s">
        <v>729</v>
      </c>
      <c r="J373" s="121"/>
      <c r="K373" s="121" t="s">
        <v>394</v>
      </c>
      <c r="L373" s="121"/>
      <c r="M373" s="121" t="s">
        <v>462</v>
      </c>
      <c r="N373" s="121"/>
      <c r="O373" s="112">
        <v>500</v>
      </c>
      <c r="P373" s="1"/>
    </row>
    <row r="374" spans="1:16" ht="12.75" x14ac:dyDescent="0.2">
      <c r="A374" s="121"/>
      <c r="B374" s="121"/>
      <c r="C374" s="121"/>
      <c r="D374" s="121"/>
      <c r="E374" s="121" t="s">
        <v>307</v>
      </c>
      <c r="F374" s="121"/>
      <c r="G374" s="122">
        <v>45349</v>
      </c>
      <c r="H374" s="121"/>
      <c r="I374" s="121" t="s">
        <v>730</v>
      </c>
      <c r="J374" s="121"/>
      <c r="K374" s="121" t="s">
        <v>394</v>
      </c>
      <c r="L374" s="121"/>
      <c r="M374" s="121" t="s">
        <v>464</v>
      </c>
      <c r="N374" s="121"/>
      <c r="O374" s="112">
        <v>500</v>
      </c>
      <c r="P374" s="1"/>
    </row>
    <row r="375" spans="1:16" ht="12.75" x14ac:dyDescent="0.2">
      <c r="A375" s="121"/>
      <c r="B375" s="121"/>
      <c r="C375" s="121"/>
      <c r="D375" s="121"/>
      <c r="E375" s="121" t="s">
        <v>307</v>
      </c>
      <c r="F375" s="121"/>
      <c r="G375" s="122">
        <v>45378</v>
      </c>
      <c r="H375" s="121"/>
      <c r="I375" s="121" t="s">
        <v>731</v>
      </c>
      <c r="J375" s="121"/>
      <c r="K375" s="121" t="s">
        <v>394</v>
      </c>
      <c r="L375" s="121"/>
      <c r="M375" s="121" t="s">
        <v>420</v>
      </c>
      <c r="N375" s="121"/>
      <c r="O375" s="112">
        <v>500</v>
      </c>
      <c r="P375" s="1"/>
    </row>
    <row r="376" spans="1:16" ht="12.75" x14ac:dyDescent="0.2">
      <c r="A376" s="121"/>
      <c r="B376" s="121"/>
      <c r="C376" s="121"/>
      <c r="D376" s="121"/>
      <c r="E376" s="121" t="s">
        <v>307</v>
      </c>
      <c r="F376" s="121"/>
      <c r="G376" s="122">
        <v>45412</v>
      </c>
      <c r="H376" s="121"/>
      <c r="I376" s="121" t="s">
        <v>732</v>
      </c>
      <c r="J376" s="121"/>
      <c r="K376" s="121" t="s">
        <v>394</v>
      </c>
      <c r="L376" s="121"/>
      <c r="M376" s="121" t="s">
        <v>322</v>
      </c>
      <c r="N376" s="121"/>
      <c r="O376" s="112">
        <v>500</v>
      </c>
      <c r="P376" s="1"/>
    </row>
    <row r="377" spans="1:16" ht="12.75" x14ac:dyDescent="0.2">
      <c r="A377" s="121"/>
      <c r="B377" s="121"/>
      <c r="C377" s="121"/>
      <c r="D377" s="121"/>
      <c r="E377" s="121" t="s">
        <v>307</v>
      </c>
      <c r="F377" s="121"/>
      <c r="G377" s="122">
        <v>45441</v>
      </c>
      <c r="H377" s="121"/>
      <c r="I377" s="121" t="s">
        <v>733</v>
      </c>
      <c r="J377" s="121"/>
      <c r="K377" s="121" t="s">
        <v>394</v>
      </c>
      <c r="L377" s="121"/>
      <c r="M377" s="121" t="s">
        <v>311</v>
      </c>
      <c r="N377" s="121"/>
      <c r="O377" s="112">
        <v>500</v>
      </c>
      <c r="P377" s="1"/>
    </row>
    <row r="378" spans="1:16" ht="12.75" x14ac:dyDescent="0.2">
      <c r="A378" s="121"/>
      <c r="B378" s="121"/>
      <c r="C378" s="121"/>
      <c r="D378" s="121"/>
      <c r="E378" s="121" t="s">
        <v>307</v>
      </c>
      <c r="F378" s="121"/>
      <c r="G378" s="122">
        <v>45470</v>
      </c>
      <c r="H378" s="121"/>
      <c r="I378" s="121" t="s">
        <v>393</v>
      </c>
      <c r="J378" s="121"/>
      <c r="K378" s="121" t="s">
        <v>394</v>
      </c>
      <c r="L378" s="121"/>
      <c r="M378" s="121" t="s">
        <v>314</v>
      </c>
      <c r="N378" s="121"/>
      <c r="O378" s="112">
        <v>500</v>
      </c>
      <c r="P378" s="1"/>
    </row>
    <row r="379" spans="1:16" ht="12.75" x14ac:dyDescent="0.2">
      <c r="A379" s="121"/>
      <c r="B379" s="121"/>
      <c r="C379" s="121"/>
      <c r="D379" s="121"/>
      <c r="E379" s="121" t="s">
        <v>307</v>
      </c>
      <c r="F379" s="121"/>
      <c r="G379" s="122">
        <v>45504</v>
      </c>
      <c r="H379" s="121"/>
      <c r="I379" s="121" t="s">
        <v>995</v>
      </c>
      <c r="J379" s="121"/>
      <c r="K379" s="121" t="s">
        <v>394</v>
      </c>
      <c r="L379" s="121"/>
      <c r="M379" s="121" t="s">
        <v>941</v>
      </c>
      <c r="N379" s="121"/>
      <c r="O379" s="112">
        <v>500</v>
      </c>
      <c r="P379" s="1"/>
    </row>
    <row r="380" spans="1:16" ht="12.75" x14ac:dyDescent="0.2">
      <c r="A380" s="121"/>
      <c r="B380" s="121"/>
      <c r="C380" s="121"/>
      <c r="D380" s="121"/>
      <c r="E380" s="121" t="s">
        <v>307</v>
      </c>
      <c r="F380" s="121"/>
      <c r="G380" s="122">
        <v>45303</v>
      </c>
      <c r="H380" s="121"/>
      <c r="I380" s="121" t="s">
        <v>734</v>
      </c>
      <c r="J380" s="121"/>
      <c r="K380" s="121" t="s">
        <v>396</v>
      </c>
      <c r="L380" s="121"/>
      <c r="M380" s="121" t="s">
        <v>462</v>
      </c>
      <c r="N380" s="121"/>
      <c r="O380" s="112">
        <v>50</v>
      </c>
      <c r="P380" s="1"/>
    </row>
    <row r="381" spans="1:16" ht="12.75" x14ac:dyDescent="0.2">
      <c r="A381" s="121"/>
      <c r="B381" s="121"/>
      <c r="C381" s="121"/>
      <c r="D381" s="121"/>
      <c r="E381" s="121" t="s">
        <v>307</v>
      </c>
      <c r="F381" s="121"/>
      <c r="G381" s="122">
        <v>45337</v>
      </c>
      <c r="H381" s="121"/>
      <c r="I381" s="121" t="s">
        <v>735</v>
      </c>
      <c r="J381" s="121"/>
      <c r="K381" s="121" t="s">
        <v>396</v>
      </c>
      <c r="L381" s="121"/>
      <c r="M381" s="121" t="s">
        <v>464</v>
      </c>
      <c r="N381" s="121"/>
      <c r="O381" s="112">
        <v>50</v>
      </c>
      <c r="P381" s="1"/>
    </row>
    <row r="382" spans="1:16" ht="12.75" x14ac:dyDescent="0.2">
      <c r="A382" s="121"/>
      <c r="B382" s="121"/>
      <c r="C382" s="121"/>
      <c r="D382" s="121"/>
      <c r="E382" s="121" t="s">
        <v>307</v>
      </c>
      <c r="F382" s="121"/>
      <c r="G382" s="122">
        <v>45366</v>
      </c>
      <c r="H382" s="121"/>
      <c r="I382" s="121" t="s">
        <v>736</v>
      </c>
      <c r="J382" s="121"/>
      <c r="K382" s="121" t="s">
        <v>396</v>
      </c>
      <c r="L382" s="121"/>
      <c r="M382" s="121" t="s">
        <v>420</v>
      </c>
      <c r="N382" s="121"/>
      <c r="O382" s="112">
        <v>50</v>
      </c>
      <c r="P382" s="1"/>
    </row>
    <row r="383" spans="1:16" ht="12.75" x14ac:dyDescent="0.2">
      <c r="A383" s="121"/>
      <c r="B383" s="121"/>
      <c r="C383" s="121"/>
      <c r="D383" s="121"/>
      <c r="E383" s="121" t="s">
        <v>307</v>
      </c>
      <c r="F383" s="121"/>
      <c r="G383" s="122">
        <v>45397</v>
      </c>
      <c r="H383" s="121"/>
      <c r="I383" s="121" t="s">
        <v>737</v>
      </c>
      <c r="J383" s="121"/>
      <c r="K383" s="121" t="s">
        <v>396</v>
      </c>
      <c r="L383" s="121"/>
      <c r="M383" s="121" t="s">
        <v>322</v>
      </c>
      <c r="N383" s="121"/>
      <c r="O383" s="112">
        <v>50</v>
      </c>
      <c r="P383" s="1"/>
    </row>
    <row r="384" spans="1:16" ht="12.75" x14ac:dyDescent="0.2">
      <c r="A384" s="121"/>
      <c r="B384" s="121"/>
      <c r="C384" s="121"/>
      <c r="D384" s="121"/>
      <c r="E384" s="121" t="s">
        <v>307</v>
      </c>
      <c r="F384" s="121"/>
      <c r="G384" s="122">
        <v>45427</v>
      </c>
      <c r="H384" s="121"/>
      <c r="I384" s="121" t="s">
        <v>738</v>
      </c>
      <c r="J384" s="121"/>
      <c r="K384" s="121" t="s">
        <v>396</v>
      </c>
      <c r="L384" s="121"/>
      <c r="M384" s="121" t="s">
        <v>311</v>
      </c>
      <c r="N384" s="121"/>
      <c r="O384" s="112">
        <v>50</v>
      </c>
      <c r="P384" s="1"/>
    </row>
    <row r="385" spans="1:16" ht="12.75" x14ac:dyDescent="0.2">
      <c r="A385" s="121"/>
      <c r="B385" s="121"/>
      <c r="C385" s="121"/>
      <c r="D385" s="121"/>
      <c r="E385" s="121" t="s">
        <v>307</v>
      </c>
      <c r="F385" s="121"/>
      <c r="G385" s="122">
        <v>45458</v>
      </c>
      <c r="H385" s="121"/>
      <c r="I385" s="121" t="s">
        <v>395</v>
      </c>
      <c r="J385" s="121"/>
      <c r="K385" s="121" t="s">
        <v>396</v>
      </c>
      <c r="L385" s="121"/>
      <c r="M385" s="121" t="s">
        <v>314</v>
      </c>
      <c r="N385" s="121"/>
      <c r="O385" s="112">
        <v>50</v>
      </c>
      <c r="P385" s="1"/>
    </row>
    <row r="386" spans="1:16" ht="12.75" x14ac:dyDescent="0.2">
      <c r="A386" s="121"/>
      <c r="B386" s="121"/>
      <c r="C386" s="121"/>
      <c r="D386" s="121"/>
      <c r="E386" s="121" t="s">
        <v>307</v>
      </c>
      <c r="F386" s="121"/>
      <c r="G386" s="122">
        <v>45488</v>
      </c>
      <c r="H386" s="121"/>
      <c r="I386" s="121" t="s">
        <v>996</v>
      </c>
      <c r="J386" s="121"/>
      <c r="K386" s="121" t="s">
        <v>396</v>
      </c>
      <c r="L386" s="121"/>
      <c r="M386" s="121" t="s">
        <v>941</v>
      </c>
      <c r="N386" s="121"/>
      <c r="O386" s="112">
        <v>50</v>
      </c>
      <c r="P386" s="1"/>
    </row>
    <row r="387" spans="1:16" ht="12.75" x14ac:dyDescent="0.2">
      <c r="A387" s="121"/>
      <c r="B387" s="121"/>
      <c r="C387" s="121"/>
      <c r="D387" s="121"/>
      <c r="E387" s="121" t="s">
        <v>307</v>
      </c>
      <c r="F387" s="121"/>
      <c r="G387" s="122">
        <v>45519</v>
      </c>
      <c r="H387" s="121"/>
      <c r="I387" s="121" t="s">
        <v>1170</v>
      </c>
      <c r="J387" s="121"/>
      <c r="K387" s="121" t="s">
        <v>396</v>
      </c>
      <c r="L387" s="121"/>
      <c r="M387" s="121" t="s">
        <v>970</v>
      </c>
      <c r="N387" s="121"/>
      <c r="O387" s="112">
        <v>50</v>
      </c>
      <c r="P387" s="1"/>
    </row>
    <row r="388" spans="1:16" ht="12.75" x14ac:dyDescent="0.2">
      <c r="A388" s="121"/>
      <c r="B388" s="121"/>
      <c r="C388" s="121"/>
      <c r="D388" s="121"/>
      <c r="E388" s="121" t="s">
        <v>307</v>
      </c>
      <c r="F388" s="121"/>
      <c r="G388" s="122">
        <v>45300</v>
      </c>
      <c r="H388" s="121"/>
      <c r="I388" s="121" t="s">
        <v>739</v>
      </c>
      <c r="J388" s="121"/>
      <c r="K388" s="121" t="s">
        <v>398</v>
      </c>
      <c r="L388" s="121"/>
      <c r="M388" s="121" t="s">
        <v>462</v>
      </c>
      <c r="N388" s="121"/>
      <c r="O388" s="112">
        <v>916.67</v>
      </c>
      <c r="P388" s="1"/>
    </row>
    <row r="389" spans="1:16" ht="12.75" x14ac:dyDescent="0.2">
      <c r="A389" s="121"/>
      <c r="B389" s="121"/>
      <c r="C389" s="121"/>
      <c r="D389" s="121"/>
      <c r="E389" s="121" t="s">
        <v>307</v>
      </c>
      <c r="F389" s="121"/>
      <c r="G389" s="122">
        <v>45350</v>
      </c>
      <c r="H389" s="121"/>
      <c r="I389" s="121" t="s">
        <v>740</v>
      </c>
      <c r="J389" s="121"/>
      <c r="K389" s="121" t="s">
        <v>398</v>
      </c>
      <c r="L389" s="121"/>
      <c r="M389" s="121" t="s">
        <v>464</v>
      </c>
      <c r="N389" s="121"/>
      <c r="O389" s="112">
        <v>916.67</v>
      </c>
      <c r="P389" s="1"/>
    </row>
    <row r="390" spans="1:16" ht="12.75" x14ac:dyDescent="0.2">
      <c r="A390" s="121"/>
      <c r="B390" s="121"/>
      <c r="C390" s="121"/>
      <c r="D390" s="121"/>
      <c r="E390" s="121" t="s">
        <v>307</v>
      </c>
      <c r="F390" s="121"/>
      <c r="G390" s="122">
        <v>45377</v>
      </c>
      <c r="H390" s="121"/>
      <c r="I390" s="121" t="s">
        <v>741</v>
      </c>
      <c r="J390" s="121"/>
      <c r="K390" s="121" t="s">
        <v>398</v>
      </c>
      <c r="L390" s="121"/>
      <c r="M390" s="121" t="s">
        <v>420</v>
      </c>
      <c r="N390" s="121"/>
      <c r="O390" s="112">
        <v>916.67</v>
      </c>
      <c r="P390" s="1"/>
    </row>
    <row r="391" spans="1:16" ht="12.75" x14ac:dyDescent="0.2">
      <c r="A391" s="121"/>
      <c r="B391" s="121"/>
      <c r="C391" s="121"/>
      <c r="D391" s="121"/>
      <c r="E391" s="121" t="s">
        <v>307</v>
      </c>
      <c r="F391" s="121"/>
      <c r="G391" s="122">
        <v>45394</v>
      </c>
      <c r="H391" s="121"/>
      <c r="I391" s="121" t="s">
        <v>742</v>
      </c>
      <c r="J391" s="121"/>
      <c r="K391" s="121" t="s">
        <v>398</v>
      </c>
      <c r="L391" s="121"/>
      <c r="M391" s="121" t="s">
        <v>322</v>
      </c>
      <c r="N391" s="121"/>
      <c r="O391" s="112">
        <v>916.67</v>
      </c>
      <c r="P391" s="1"/>
    </row>
    <row r="392" spans="1:16" ht="12.75" x14ac:dyDescent="0.2">
      <c r="A392" s="121"/>
      <c r="B392" s="121"/>
      <c r="C392" s="121"/>
      <c r="D392" s="121"/>
      <c r="E392" s="121" t="s">
        <v>307</v>
      </c>
      <c r="F392" s="121"/>
      <c r="G392" s="122">
        <v>45427</v>
      </c>
      <c r="H392" s="121"/>
      <c r="I392" s="121" t="s">
        <v>743</v>
      </c>
      <c r="J392" s="121"/>
      <c r="K392" s="121" t="s">
        <v>398</v>
      </c>
      <c r="L392" s="121"/>
      <c r="M392" s="121" t="s">
        <v>311</v>
      </c>
      <c r="N392" s="121"/>
      <c r="O392" s="112">
        <v>916.67</v>
      </c>
      <c r="P392" s="1"/>
    </row>
    <row r="393" spans="1:16" ht="12.75" x14ac:dyDescent="0.2">
      <c r="A393" s="121"/>
      <c r="B393" s="121"/>
      <c r="C393" s="121"/>
      <c r="D393" s="121"/>
      <c r="E393" s="121" t="s">
        <v>307</v>
      </c>
      <c r="F393" s="121"/>
      <c r="G393" s="122">
        <v>45457</v>
      </c>
      <c r="H393" s="121"/>
      <c r="I393" s="121" t="s">
        <v>397</v>
      </c>
      <c r="J393" s="121"/>
      <c r="K393" s="121" t="s">
        <v>398</v>
      </c>
      <c r="L393" s="121"/>
      <c r="M393" s="121" t="s">
        <v>314</v>
      </c>
      <c r="N393" s="121"/>
      <c r="O393" s="112">
        <v>916.67</v>
      </c>
      <c r="P393" s="1"/>
    </row>
    <row r="394" spans="1:16" ht="12.75" x14ac:dyDescent="0.2">
      <c r="A394" s="121"/>
      <c r="B394" s="121"/>
      <c r="C394" s="121"/>
      <c r="D394" s="121"/>
      <c r="E394" s="121" t="s">
        <v>307</v>
      </c>
      <c r="F394" s="121"/>
      <c r="G394" s="122">
        <v>45491</v>
      </c>
      <c r="H394" s="121"/>
      <c r="I394" s="121" t="s">
        <v>997</v>
      </c>
      <c r="J394" s="121"/>
      <c r="K394" s="121" t="s">
        <v>398</v>
      </c>
      <c r="L394" s="121"/>
      <c r="M394" s="121" t="s">
        <v>941</v>
      </c>
      <c r="N394" s="121"/>
      <c r="O394" s="112">
        <v>916.67</v>
      </c>
      <c r="P394" s="1"/>
    </row>
    <row r="395" spans="1:16" ht="12.75" x14ac:dyDescent="0.2">
      <c r="A395" s="121"/>
      <c r="B395" s="121"/>
      <c r="C395" s="121"/>
      <c r="D395" s="121"/>
      <c r="E395" s="121" t="s">
        <v>307</v>
      </c>
      <c r="F395" s="121"/>
      <c r="G395" s="122">
        <v>45519</v>
      </c>
      <c r="H395" s="121"/>
      <c r="I395" s="121" t="s">
        <v>1171</v>
      </c>
      <c r="J395" s="121"/>
      <c r="K395" s="121" t="s">
        <v>398</v>
      </c>
      <c r="L395" s="121"/>
      <c r="M395" s="121" t="s">
        <v>970</v>
      </c>
      <c r="N395" s="121"/>
      <c r="O395" s="112">
        <v>916.67</v>
      </c>
      <c r="P395" s="1"/>
    </row>
    <row r="396" spans="1:16" ht="12.75" x14ac:dyDescent="0.2">
      <c r="A396" s="121"/>
      <c r="B396" s="121"/>
      <c r="C396" s="121"/>
      <c r="D396" s="121"/>
      <c r="E396" s="121" t="s">
        <v>307</v>
      </c>
      <c r="F396" s="121"/>
      <c r="G396" s="122">
        <v>45324</v>
      </c>
      <c r="H396" s="121"/>
      <c r="I396" s="121" t="s">
        <v>744</v>
      </c>
      <c r="J396" s="121"/>
      <c r="K396" s="121" t="s">
        <v>745</v>
      </c>
      <c r="L396" s="121"/>
      <c r="M396" s="121" t="s">
        <v>746</v>
      </c>
      <c r="N396" s="121"/>
      <c r="O396" s="112">
        <v>900</v>
      </c>
      <c r="P396" s="1"/>
    </row>
    <row r="397" spans="1:16" ht="12.75" x14ac:dyDescent="0.2">
      <c r="A397" s="121"/>
      <c r="B397" s="121"/>
      <c r="C397" s="121"/>
      <c r="D397" s="121"/>
      <c r="E397" s="121" t="s">
        <v>307</v>
      </c>
      <c r="F397" s="121"/>
      <c r="G397" s="122">
        <v>45324</v>
      </c>
      <c r="H397" s="121"/>
      <c r="I397" s="121" t="s">
        <v>747</v>
      </c>
      <c r="J397" s="121"/>
      <c r="K397" s="121" t="s">
        <v>745</v>
      </c>
      <c r="L397" s="121"/>
      <c r="M397" s="121" t="s">
        <v>748</v>
      </c>
      <c r="N397" s="121"/>
      <c r="O397" s="112">
        <v>1800</v>
      </c>
      <c r="P397" s="1"/>
    </row>
    <row r="398" spans="1:16" ht="12.75" x14ac:dyDescent="0.2">
      <c r="A398" s="121"/>
      <c r="B398" s="121"/>
      <c r="C398" s="121"/>
      <c r="D398" s="121"/>
      <c r="E398" s="121" t="s">
        <v>307</v>
      </c>
      <c r="F398" s="121"/>
      <c r="G398" s="122">
        <v>45349</v>
      </c>
      <c r="H398" s="121"/>
      <c r="I398" s="121" t="s">
        <v>749</v>
      </c>
      <c r="J398" s="121"/>
      <c r="K398" s="121" t="s">
        <v>745</v>
      </c>
      <c r="L398" s="121"/>
      <c r="M398" s="121" t="s">
        <v>589</v>
      </c>
      <c r="N398" s="121"/>
      <c r="O398" s="112">
        <v>733.34</v>
      </c>
      <c r="P398" s="1"/>
    </row>
    <row r="399" spans="1:16" ht="12.75" x14ac:dyDescent="0.2">
      <c r="A399" s="121"/>
      <c r="B399" s="121"/>
      <c r="C399" s="121"/>
      <c r="D399" s="121"/>
      <c r="E399" s="121" t="s">
        <v>307</v>
      </c>
      <c r="F399" s="121"/>
      <c r="G399" s="122">
        <v>45492</v>
      </c>
      <c r="H399" s="121"/>
      <c r="I399" s="121" t="s">
        <v>998</v>
      </c>
      <c r="J399" s="121"/>
      <c r="K399" s="121" t="s">
        <v>745</v>
      </c>
      <c r="L399" s="121"/>
      <c r="M399" s="121" t="s">
        <v>420</v>
      </c>
      <c r="N399" s="121"/>
      <c r="O399" s="112">
        <v>366.67</v>
      </c>
      <c r="P399" s="1"/>
    </row>
    <row r="400" spans="1:16" ht="12.75" x14ac:dyDescent="0.2">
      <c r="A400" s="121"/>
      <c r="B400" s="121"/>
      <c r="C400" s="121"/>
      <c r="D400" s="121"/>
      <c r="E400" s="121" t="s">
        <v>307</v>
      </c>
      <c r="F400" s="121"/>
      <c r="G400" s="122">
        <v>45492</v>
      </c>
      <c r="H400" s="121"/>
      <c r="I400" s="121" t="s">
        <v>998</v>
      </c>
      <c r="J400" s="121"/>
      <c r="K400" s="121" t="s">
        <v>745</v>
      </c>
      <c r="L400" s="121"/>
      <c r="M400" s="121" t="s">
        <v>322</v>
      </c>
      <c r="N400" s="121"/>
      <c r="O400" s="112">
        <v>366.67</v>
      </c>
      <c r="P400" s="1"/>
    </row>
    <row r="401" spans="1:16" ht="12.75" x14ac:dyDescent="0.2">
      <c r="A401" s="121"/>
      <c r="B401" s="121"/>
      <c r="C401" s="121"/>
      <c r="D401" s="121"/>
      <c r="E401" s="121" t="s">
        <v>307</v>
      </c>
      <c r="F401" s="121"/>
      <c r="G401" s="122">
        <v>45496</v>
      </c>
      <c r="H401" s="121"/>
      <c r="I401" s="121" t="s">
        <v>999</v>
      </c>
      <c r="J401" s="121"/>
      <c r="K401" s="121" t="s">
        <v>745</v>
      </c>
      <c r="L401" s="121"/>
      <c r="M401" s="121" t="s">
        <v>361</v>
      </c>
      <c r="N401" s="121"/>
      <c r="O401" s="112">
        <v>733.34</v>
      </c>
      <c r="P401" s="1"/>
    </row>
    <row r="402" spans="1:16" ht="12.75" x14ac:dyDescent="0.2">
      <c r="A402" s="121"/>
      <c r="B402" s="121"/>
      <c r="C402" s="121"/>
      <c r="D402" s="121"/>
      <c r="E402" s="121" t="s">
        <v>307</v>
      </c>
      <c r="F402" s="121"/>
      <c r="G402" s="122">
        <v>45406</v>
      </c>
      <c r="H402" s="121"/>
      <c r="I402" s="121" t="s">
        <v>750</v>
      </c>
      <c r="J402" s="121"/>
      <c r="K402" s="121" t="s">
        <v>751</v>
      </c>
      <c r="L402" s="121"/>
      <c r="M402" s="121" t="s">
        <v>752</v>
      </c>
      <c r="N402" s="121"/>
      <c r="O402" s="112">
        <v>1000</v>
      </c>
      <c r="P402" s="1"/>
    </row>
    <row r="403" spans="1:16" ht="12.75" x14ac:dyDescent="0.2">
      <c r="A403" s="121"/>
      <c r="B403" s="121"/>
      <c r="C403" s="121"/>
      <c r="D403" s="121"/>
      <c r="E403" s="121" t="s">
        <v>307</v>
      </c>
      <c r="F403" s="121"/>
      <c r="G403" s="122">
        <v>45498</v>
      </c>
      <c r="H403" s="121"/>
      <c r="I403" s="121" t="s">
        <v>1000</v>
      </c>
      <c r="J403" s="121"/>
      <c r="K403" s="121" t="s">
        <v>751</v>
      </c>
      <c r="L403" s="121"/>
      <c r="M403" s="121" t="s">
        <v>973</v>
      </c>
      <c r="N403" s="121"/>
      <c r="O403" s="112">
        <v>500</v>
      </c>
      <c r="P403" s="1"/>
    </row>
    <row r="404" spans="1:16" ht="12.75" x14ac:dyDescent="0.2">
      <c r="A404" s="121"/>
      <c r="B404" s="121"/>
      <c r="C404" s="121"/>
      <c r="D404" s="121"/>
      <c r="E404" s="121" t="s">
        <v>307</v>
      </c>
      <c r="F404" s="121"/>
      <c r="G404" s="122">
        <v>45356</v>
      </c>
      <c r="H404" s="121"/>
      <c r="I404" s="121" t="s">
        <v>753</v>
      </c>
      <c r="J404" s="121"/>
      <c r="K404" s="121" t="s">
        <v>400</v>
      </c>
      <c r="L404" s="121"/>
      <c r="M404" s="121" t="s">
        <v>464</v>
      </c>
      <c r="N404" s="121"/>
      <c r="O404" s="112">
        <v>5725</v>
      </c>
      <c r="P404" s="1"/>
    </row>
    <row r="405" spans="1:16" ht="12.75" x14ac:dyDescent="0.2">
      <c r="A405" s="121"/>
      <c r="B405" s="121"/>
      <c r="C405" s="121"/>
      <c r="D405" s="121"/>
      <c r="E405" s="121" t="s">
        <v>307</v>
      </c>
      <c r="F405" s="121"/>
      <c r="G405" s="122">
        <v>45356</v>
      </c>
      <c r="H405" s="121"/>
      <c r="I405" s="121" t="s">
        <v>754</v>
      </c>
      <c r="J405" s="121"/>
      <c r="K405" s="121" t="s">
        <v>400</v>
      </c>
      <c r="L405" s="121"/>
      <c r="M405" s="121" t="s">
        <v>462</v>
      </c>
      <c r="N405" s="121"/>
      <c r="O405" s="112">
        <v>5725</v>
      </c>
      <c r="P405" s="1"/>
    </row>
    <row r="406" spans="1:16" ht="12.75" x14ac:dyDescent="0.2">
      <c r="A406" s="121"/>
      <c r="B406" s="121"/>
      <c r="C406" s="121"/>
      <c r="D406" s="121"/>
      <c r="E406" s="121" t="s">
        <v>307</v>
      </c>
      <c r="F406" s="121"/>
      <c r="G406" s="122">
        <v>45384</v>
      </c>
      <c r="H406" s="121"/>
      <c r="I406" s="121" t="s">
        <v>755</v>
      </c>
      <c r="J406" s="121"/>
      <c r="K406" s="121" t="s">
        <v>400</v>
      </c>
      <c r="L406" s="121"/>
      <c r="M406" s="121" t="s">
        <v>420</v>
      </c>
      <c r="N406" s="121"/>
      <c r="O406" s="112">
        <v>5725</v>
      </c>
      <c r="P406" s="1"/>
    </row>
    <row r="407" spans="1:16" ht="12.75" x14ac:dyDescent="0.2">
      <c r="A407" s="121"/>
      <c r="B407" s="121"/>
      <c r="C407" s="121"/>
      <c r="D407" s="121"/>
      <c r="E407" s="121" t="s">
        <v>307</v>
      </c>
      <c r="F407" s="121"/>
      <c r="G407" s="122">
        <v>45418</v>
      </c>
      <c r="H407" s="121"/>
      <c r="I407" s="121" t="s">
        <v>756</v>
      </c>
      <c r="J407" s="121"/>
      <c r="K407" s="121" t="s">
        <v>400</v>
      </c>
      <c r="L407" s="121"/>
      <c r="M407" s="121" t="s">
        <v>322</v>
      </c>
      <c r="N407" s="121"/>
      <c r="O407" s="112">
        <v>5725</v>
      </c>
      <c r="P407" s="1"/>
    </row>
    <row r="408" spans="1:16" ht="12.75" x14ac:dyDescent="0.2">
      <c r="A408" s="121"/>
      <c r="B408" s="121"/>
      <c r="C408" s="121"/>
      <c r="D408" s="121"/>
      <c r="E408" s="121" t="s">
        <v>307</v>
      </c>
      <c r="F408" s="121"/>
      <c r="G408" s="122">
        <v>45453</v>
      </c>
      <c r="H408" s="121"/>
      <c r="I408" s="121" t="s">
        <v>399</v>
      </c>
      <c r="J408" s="121"/>
      <c r="K408" s="121" t="s">
        <v>400</v>
      </c>
      <c r="L408" s="121"/>
      <c r="M408" s="121" t="s">
        <v>311</v>
      </c>
      <c r="N408" s="121"/>
      <c r="O408" s="112">
        <v>5725</v>
      </c>
      <c r="P408" s="1"/>
    </row>
    <row r="409" spans="1:16" ht="12.75" x14ac:dyDescent="0.2">
      <c r="A409" s="121"/>
      <c r="B409" s="121"/>
      <c r="C409" s="121"/>
      <c r="D409" s="121"/>
      <c r="E409" s="121" t="s">
        <v>307</v>
      </c>
      <c r="F409" s="121"/>
      <c r="G409" s="122">
        <v>45478</v>
      </c>
      <c r="H409" s="121"/>
      <c r="I409" s="121" t="s">
        <v>1001</v>
      </c>
      <c r="J409" s="121"/>
      <c r="K409" s="121" t="s">
        <v>400</v>
      </c>
      <c r="L409" s="121"/>
      <c r="M409" s="121" t="s">
        <v>314</v>
      </c>
      <c r="N409" s="121"/>
      <c r="O409" s="112">
        <v>5725</v>
      </c>
      <c r="P409" s="1"/>
    </row>
    <row r="410" spans="1:16" ht="12.75" x14ac:dyDescent="0.2">
      <c r="A410" s="121"/>
      <c r="B410" s="121"/>
      <c r="C410" s="121"/>
      <c r="D410" s="121"/>
      <c r="E410" s="121" t="s">
        <v>307</v>
      </c>
      <c r="F410" s="121"/>
      <c r="G410" s="122">
        <v>45502</v>
      </c>
      <c r="H410" s="121"/>
      <c r="I410" s="121" t="s">
        <v>1002</v>
      </c>
      <c r="J410" s="121"/>
      <c r="K410" s="121" t="s">
        <v>400</v>
      </c>
      <c r="L410" s="121"/>
      <c r="M410" s="121" t="s">
        <v>941</v>
      </c>
      <c r="N410" s="121"/>
      <c r="O410" s="112">
        <v>5725</v>
      </c>
      <c r="P410" s="1"/>
    </row>
    <row r="411" spans="1:16" ht="12.75" x14ac:dyDescent="0.2">
      <c r="A411" s="121"/>
      <c r="B411" s="121"/>
      <c r="C411" s="121"/>
      <c r="D411" s="121"/>
      <c r="E411" s="121" t="s">
        <v>307</v>
      </c>
      <c r="F411" s="121"/>
      <c r="G411" s="122">
        <v>45534</v>
      </c>
      <c r="H411" s="121"/>
      <c r="I411" s="121" t="s">
        <v>1172</v>
      </c>
      <c r="J411" s="121"/>
      <c r="K411" s="121" t="s">
        <v>400</v>
      </c>
      <c r="L411" s="121"/>
      <c r="M411" s="121" t="s">
        <v>970</v>
      </c>
      <c r="N411" s="121"/>
      <c r="O411" s="112">
        <v>5725</v>
      </c>
      <c r="P411" s="1"/>
    </row>
    <row r="412" spans="1:16" ht="12.75" x14ac:dyDescent="0.2">
      <c r="A412" s="121"/>
      <c r="B412" s="121"/>
      <c r="C412" s="121"/>
      <c r="D412" s="121"/>
      <c r="E412" s="121" t="s">
        <v>307</v>
      </c>
      <c r="F412" s="121"/>
      <c r="G412" s="122">
        <v>45322</v>
      </c>
      <c r="H412" s="121"/>
      <c r="I412" s="121" t="s">
        <v>757</v>
      </c>
      <c r="J412" s="121"/>
      <c r="K412" s="121" t="s">
        <v>758</v>
      </c>
      <c r="L412" s="121"/>
      <c r="M412" s="121" t="s">
        <v>759</v>
      </c>
      <c r="N412" s="121"/>
      <c r="O412" s="112">
        <v>500</v>
      </c>
      <c r="P412" s="1"/>
    </row>
    <row r="413" spans="1:16" ht="12.75" x14ac:dyDescent="0.2">
      <c r="A413" s="121"/>
      <c r="B413" s="121"/>
      <c r="C413" s="121"/>
      <c r="D413" s="121"/>
      <c r="E413" s="121" t="s">
        <v>307</v>
      </c>
      <c r="F413" s="121"/>
      <c r="G413" s="122">
        <v>45329</v>
      </c>
      <c r="H413" s="121"/>
      <c r="I413" s="121" t="s">
        <v>760</v>
      </c>
      <c r="J413" s="121"/>
      <c r="K413" s="121" t="s">
        <v>758</v>
      </c>
      <c r="L413" s="121"/>
      <c r="M413" s="121" t="s">
        <v>761</v>
      </c>
      <c r="N413" s="121"/>
      <c r="O413" s="112">
        <v>500</v>
      </c>
      <c r="P413" s="1"/>
    </row>
    <row r="414" spans="1:16" ht="12.75" x14ac:dyDescent="0.2">
      <c r="A414" s="121"/>
      <c r="B414" s="121"/>
      <c r="C414" s="121"/>
      <c r="D414" s="121"/>
      <c r="E414" s="121" t="s">
        <v>307</v>
      </c>
      <c r="F414" s="121"/>
      <c r="G414" s="122">
        <v>45303</v>
      </c>
      <c r="H414" s="121"/>
      <c r="I414" s="121" t="s">
        <v>762</v>
      </c>
      <c r="J414" s="121"/>
      <c r="K414" s="121" t="s">
        <v>402</v>
      </c>
      <c r="L414" s="121"/>
      <c r="M414" s="121" t="s">
        <v>462</v>
      </c>
      <c r="N414" s="121"/>
      <c r="O414" s="112">
        <v>2500</v>
      </c>
      <c r="P414" s="1"/>
    </row>
    <row r="415" spans="1:16" ht="12.75" x14ac:dyDescent="0.2">
      <c r="A415" s="121"/>
      <c r="B415" s="121"/>
      <c r="C415" s="121"/>
      <c r="D415" s="121"/>
      <c r="E415" s="121" t="s">
        <v>307</v>
      </c>
      <c r="F415" s="121"/>
      <c r="G415" s="122">
        <v>45337</v>
      </c>
      <c r="H415" s="121"/>
      <c r="I415" s="121" t="s">
        <v>763</v>
      </c>
      <c r="J415" s="121"/>
      <c r="K415" s="121" t="s">
        <v>402</v>
      </c>
      <c r="L415" s="121"/>
      <c r="M415" s="121" t="s">
        <v>464</v>
      </c>
      <c r="N415" s="121"/>
      <c r="O415" s="112">
        <v>2500</v>
      </c>
      <c r="P415" s="1"/>
    </row>
    <row r="416" spans="1:16" ht="12.75" x14ac:dyDescent="0.2">
      <c r="A416" s="121"/>
      <c r="B416" s="121"/>
      <c r="C416" s="121"/>
      <c r="D416" s="121"/>
      <c r="E416" s="121" t="s">
        <v>307</v>
      </c>
      <c r="F416" s="121"/>
      <c r="G416" s="122">
        <v>45366</v>
      </c>
      <c r="H416" s="121"/>
      <c r="I416" s="121" t="s">
        <v>764</v>
      </c>
      <c r="J416" s="121"/>
      <c r="K416" s="121" t="s">
        <v>402</v>
      </c>
      <c r="L416" s="121"/>
      <c r="M416" s="121" t="s">
        <v>420</v>
      </c>
      <c r="N416" s="121"/>
      <c r="O416" s="112">
        <v>2500</v>
      </c>
      <c r="P416" s="1"/>
    </row>
    <row r="417" spans="1:16" ht="12.75" x14ac:dyDescent="0.2">
      <c r="A417" s="121"/>
      <c r="B417" s="121"/>
      <c r="C417" s="121"/>
      <c r="D417" s="121"/>
      <c r="E417" s="121" t="s">
        <v>307</v>
      </c>
      <c r="F417" s="121"/>
      <c r="G417" s="122">
        <v>45397</v>
      </c>
      <c r="H417" s="121"/>
      <c r="I417" s="121" t="s">
        <v>765</v>
      </c>
      <c r="J417" s="121"/>
      <c r="K417" s="121" t="s">
        <v>402</v>
      </c>
      <c r="L417" s="121"/>
      <c r="M417" s="121" t="s">
        <v>322</v>
      </c>
      <c r="N417" s="121"/>
      <c r="O417" s="112">
        <v>2500</v>
      </c>
      <c r="P417" s="1"/>
    </row>
    <row r="418" spans="1:16" ht="12.75" x14ac:dyDescent="0.2">
      <c r="A418" s="121"/>
      <c r="B418" s="121"/>
      <c r="C418" s="121"/>
      <c r="D418" s="121"/>
      <c r="E418" s="121" t="s">
        <v>307</v>
      </c>
      <c r="F418" s="121"/>
      <c r="G418" s="122">
        <v>45427</v>
      </c>
      <c r="H418" s="121"/>
      <c r="I418" s="121" t="s">
        <v>766</v>
      </c>
      <c r="J418" s="121"/>
      <c r="K418" s="121" t="s">
        <v>402</v>
      </c>
      <c r="L418" s="121"/>
      <c r="M418" s="121" t="s">
        <v>311</v>
      </c>
      <c r="N418" s="121"/>
      <c r="O418" s="112">
        <v>2500</v>
      </c>
      <c r="P418" s="1"/>
    </row>
    <row r="419" spans="1:16" ht="12.75" x14ac:dyDescent="0.2">
      <c r="A419" s="121"/>
      <c r="B419" s="121"/>
      <c r="C419" s="121"/>
      <c r="D419" s="121"/>
      <c r="E419" s="121" t="s">
        <v>307</v>
      </c>
      <c r="F419" s="121"/>
      <c r="G419" s="122">
        <v>45458</v>
      </c>
      <c r="H419" s="121"/>
      <c r="I419" s="121" t="s">
        <v>401</v>
      </c>
      <c r="J419" s="121"/>
      <c r="K419" s="121" t="s">
        <v>402</v>
      </c>
      <c r="L419" s="121"/>
      <c r="M419" s="121" t="s">
        <v>314</v>
      </c>
      <c r="N419" s="121"/>
      <c r="O419" s="112">
        <v>2500</v>
      </c>
      <c r="P419" s="1"/>
    </row>
    <row r="420" spans="1:16" ht="12.75" x14ac:dyDescent="0.2">
      <c r="A420" s="121"/>
      <c r="B420" s="121"/>
      <c r="C420" s="121"/>
      <c r="D420" s="121"/>
      <c r="E420" s="121" t="s">
        <v>307</v>
      </c>
      <c r="F420" s="121"/>
      <c r="G420" s="122">
        <v>45488</v>
      </c>
      <c r="H420" s="121"/>
      <c r="I420" s="121" t="s">
        <v>1003</v>
      </c>
      <c r="J420" s="121"/>
      <c r="K420" s="121" t="s">
        <v>402</v>
      </c>
      <c r="L420" s="121"/>
      <c r="M420" s="121" t="s">
        <v>941</v>
      </c>
      <c r="N420" s="121"/>
      <c r="O420" s="112">
        <v>2500</v>
      </c>
      <c r="P420" s="1"/>
    </row>
    <row r="421" spans="1:16" ht="12.75" x14ac:dyDescent="0.2">
      <c r="A421" s="121"/>
      <c r="B421" s="121"/>
      <c r="C421" s="121"/>
      <c r="D421" s="121"/>
      <c r="E421" s="121" t="s">
        <v>307</v>
      </c>
      <c r="F421" s="121"/>
      <c r="G421" s="122">
        <v>45519</v>
      </c>
      <c r="H421" s="121"/>
      <c r="I421" s="121" t="s">
        <v>1173</v>
      </c>
      <c r="J421" s="121"/>
      <c r="K421" s="121" t="s">
        <v>402</v>
      </c>
      <c r="L421" s="121"/>
      <c r="M421" s="121" t="s">
        <v>970</v>
      </c>
      <c r="N421" s="121"/>
      <c r="O421" s="112">
        <v>2500</v>
      </c>
      <c r="P421" s="1"/>
    </row>
    <row r="422" spans="1:16" ht="12.75" x14ac:dyDescent="0.2">
      <c r="A422" s="121"/>
      <c r="B422" s="121"/>
      <c r="C422" s="121"/>
      <c r="D422" s="121"/>
      <c r="E422" s="121" t="s">
        <v>307</v>
      </c>
      <c r="F422" s="121"/>
      <c r="G422" s="122">
        <v>45338</v>
      </c>
      <c r="H422" s="121"/>
      <c r="I422" s="121" t="s">
        <v>767</v>
      </c>
      <c r="J422" s="121"/>
      <c r="K422" s="121" t="s">
        <v>768</v>
      </c>
      <c r="L422" s="121"/>
      <c r="M422" s="121" t="s">
        <v>462</v>
      </c>
      <c r="N422" s="121"/>
      <c r="O422" s="112">
        <v>125</v>
      </c>
      <c r="P422" s="1"/>
    </row>
    <row r="423" spans="1:16" ht="12.75" x14ac:dyDescent="0.2">
      <c r="A423" s="121"/>
      <c r="B423" s="121"/>
      <c r="C423" s="121"/>
      <c r="D423" s="121"/>
      <c r="E423" s="121" t="s">
        <v>307</v>
      </c>
      <c r="F423" s="121"/>
      <c r="G423" s="122">
        <v>45352</v>
      </c>
      <c r="H423" s="121"/>
      <c r="I423" s="121" t="s">
        <v>769</v>
      </c>
      <c r="J423" s="121"/>
      <c r="K423" s="121" t="s">
        <v>768</v>
      </c>
      <c r="L423" s="121"/>
      <c r="M423" s="121" t="s">
        <v>464</v>
      </c>
      <c r="N423" s="121"/>
      <c r="O423" s="112">
        <v>125</v>
      </c>
      <c r="P423" s="1"/>
    </row>
    <row r="424" spans="1:16" ht="12.75" x14ac:dyDescent="0.2">
      <c r="A424" s="121"/>
      <c r="B424" s="121"/>
      <c r="C424" s="121"/>
      <c r="D424" s="121"/>
      <c r="E424" s="121" t="s">
        <v>307</v>
      </c>
      <c r="F424" s="121"/>
      <c r="G424" s="122">
        <v>45380</v>
      </c>
      <c r="H424" s="121"/>
      <c r="I424" s="121" t="s">
        <v>770</v>
      </c>
      <c r="J424" s="121"/>
      <c r="K424" s="121" t="s">
        <v>768</v>
      </c>
      <c r="L424" s="121"/>
      <c r="M424" s="121" t="s">
        <v>420</v>
      </c>
      <c r="N424" s="121"/>
      <c r="O424" s="112">
        <v>125</v>
      </c>
      <c r="P424" s="1"/>
    </row>
    <row r="425" spans="1:16" ht="12.75" x14ac:dyDescent="0.2">
      <c r="A425" s="121"/>
      <c r="B425" s="121"/>
      <c r="C425" s="121"/>
      <c r="D425" s="121"/>
      <c r="E425" s="121" t="s">
        <v>307</v>
      </c>
      <c r="F425" s="121"/>
      <c r="G425" s="122">
        <v>45418</v>
      </c>
      <c r="H425" s="121"/>
      <c r="I425" s="121" t="s">
        <v>771</v>
      </c>
      <c r="J425" s="121"/>
      <c r="K425" s="121" t="s">
        <v>768</v>
      </c>
      <c r="L425" s="121"/>
      <c r="M425" s="121" t="s">
        <v>322</v>
      </c>
      <c r="N425" s="121"/>
      <c r="O425" s="112">
        <v>125</v>
      </c>
      <c r="P425" s="1"/>
    </row>
    <row r="426" spans="1:16" ht="12.75" x14ac:dyDescent="0.2">
      <c r="A426" s="121"/>
      <c r="B426" s="121"/>
      <c r="C426" s="121"/>
      <c r="D426" s="121"/>
      <c r="E426" s="121" t="s">
        <v>307</v>
      </c>
      <c r="F426" s="121"/>
      <c r="G426" s="122">
        <v>45443</v>
      </c>
      <c r="H426" s="121"/>
      <c r="I426" s="121" t="s">
        <v>772</v>
      </c>
      <c r="J426" s="121"/>
      <c r="K426" s="121" t="s">
        <v>768</v>
      </c>
      <c r="L426" s="121"/>
      <c r="M426" s="121" t="s">
        <v>311</v>
      </c>
      <c r="N426" s="121"/>
      <c r="O426" s="112">
        <v>125</v>
      </c>
      <c r="P426" s="1"/>
    </row>
    <row r="427" spans="1:16" ht="12.75" x14ac:dyDescent="0.2">
      <c r="A427" s="121"/>
      <c r="B427" s="121"/>
      <c r="C427" s="121"/>
      <c r="D427" s="121"/>
      <c r="E427" s="121" t="s">
        <v>307</v>
      </c>
      <c r="F427" s="121"/>
      <c r="G427" s="122">
        <v>45481</v>
      </c>
      <c r="H427" s="121"/>
      <c r="I427" s="121" t="s">
        <v>1004</v>
      </c>
      <c r="J427" s="121"/>
      <c r="K427" s="121" t="s">
        <v>768</v>
      </c>
      <c r="L427" s="121"/>
      <c r="M427" s="121" t="s">
        <v>314</v>
      </c>
      <c r="N427" s="121"/>
      <c r="O427" s="112">
        <v>125</v>
      </c>
      <c r="P427" s="1"/>
    </row>
    <row r="428" spans="1:16" ht="12.75" x14ac:dyDescent="0.2">
      <c r="A428" s="121"/>
      <c r="B428" s="121"/>
      <c r="C428" s="121"/>
      <c r="D428" s="121"/>
      <c r="E428" s="121" t="s">
        <v>307</v>
      </c>
      <c r="F428" s="121"/>
      <c r="G428" s="122">
        <v>45511</v>
      </c>
      <c r="H428" s="121"/>
      <c r="I428" s="121" t="s">
        <v>1174</v>
      </c>
      <c r="J428" s="121"/>
      <c r="K428" s="121" t="s">
        <v>768</v>
      </c>
      <c r="L428" s="121"/>
      <c r="M428" s="121" t="s">
        <v>941</v>
      </c>
      <c r="N428" s="121"/>
      <c r="O428" s="112">
        <v>125</v>
      </c>
      <c r="P428" s="1"/>
    </row>
    <row r="429" spans="1:16" ht="12.75" x14ac:dyDescent="0.2">
      <c r="A429" s="121"/>
      <c r="B429" s="121"/>
      <c r="C429" s="121"/>
      <c r="D429" s="121"/>
      <c r="E429" s="121" t="s">
        <v>307</v>
      </c>
      <c r="F429" s="121"/>
      <c r="G429" s="122">
        <v>45342</v>
      </c>
      <c r="H429" s="121"/>
      <c r="I429" s="121" t="s">
        <v>773</v>
      </c>
      <c r="J429" s="121"/>
      <c r="K429" s="121" t="s">
        <v>774</v>
      </c>
      <c r="L429" s="121"/>
      <c r="M429" s="121" t="s">
        <v>462</v>
      </c>
      <c r="N429" s="121"/>
      <c r="O429" s="112">
        <v>1250</v>
      </c>
      <c r="P429" s="1"/>
    </row>
    <row r="430" spans="1:16" ht="12.75" x14ac:dyDescent="0.2">
      <c r="A430" s="121"/>
      <c r="B430" s="121"/>
      <c r="C430" s="121"/>
      <c r="D430" s="121"/>
      <c r="E430" s="121" t="s">
        <v>307</v>
      </c>
      <c r="F430" s="121"/>
      <c r="G430" s="122">
        <v>45342</v>
      </c>
      <c r="H430" s="121"/>
      <c r="I430" s="121" t="s">
        <v>775</v>
      </c>
      <c r="J430" s="121"/>
      <c r="K430" s="121" t="s">
        <v>774</v>
      </c>
      <c r="L430" s="121"/>
      <c r="M430" s="121" t="s">
        <v>464</v>
      </c>
      <c r="N430" s="121"/>
      <c r="O430" s="112">
        <v>1250</v>
      </c>
      <c r="P430" s="1"/>
    </row>
    <row r="431" spans="1:16" ht="12.75" x14ac:dyDescent="0.2">
      <c r="A431" s="121"/>
      <c r="B431" s="121"/>
      <c r="C431" s="121"/>
      <c r="D431" s="121"/>
      <c r="E431" s="121" t="s">
        <v>307</v>
      </c>
      <c r="F431" s="121"/>
      <c r="G431" s="122">
        <v>45394</v>
      </c>
      <c r="H431" s="121"/>
      <c r="I431" s="121" t="s">
        <v>776</v>
      </c>
      <c r="J431" s="121"/>
      <c r="K431" s="121" t="s">
        <v>774</v>
      </c>
      <c r="L431" s="121"/>
      <c r="M431" s="121" t="s">
        <v>420</v>
      </c>
      <c r="N431" s="121"/>
      <c r="O431" s="112">
        <v>1250</v>
      </c>
      <c r="P431" s="1"/>
    </row>
    <row r="432" spans="1:16" ht="12.75" x14ac:dyDescent="0.2">
      <c r="A432" s="121"/>
      <c r="B432" s="121"/>
      <c r="C432" s="121"/>
      <c r="D432" s="121"/>
      <c r="E432" s="121" t="s">
        <v>307</v>
      </c>
      <c r="F432" s="121"/>
      <c r="G432" s="122">
        <v>45412</v>
      </c>
      <c r="H432" s="121"/>
      <c r="I432" s="121" t="s">
        <v>777</v>
      </c>
      <c r="J432" s="121"/>
      <c r="K432" s="121" t="s">
        <v>774</v>
      </c>
      <c r="L432" s="121"/>
      <c r="M432" s="121" t="s">
        <v>322</v>
      </c>
      <c r="N432" s="121"/>
      <c r="O432" s="112">
        <v>1250</v>
      </c>
      <c r="P432" s="1"/>
    </row>
    <row r="433" spans="1:16" ht="12.75" x14ac:dyDescent="0.2">
      <c r="A433" s="121"/>
      <c r="B433" s="121"/>
      <c r="C433" s="121"/>
      <c r="D433" s="121"/>
      <c r="E433" s="121" t="s">
        <v>307</v>
      </c>
      <c r="F433" s="121"/>
      <c r="G433" s="122">
        <v>45443</v>
      </c>
      <c r="H433" s="121"/>
      <c r="I433" s="121" t="s">
        <v>778</v>
      </c>
      <c r="J433" s="121"/>
      <c r="K433" s="121" t="s">
        <v>774</v>
      </c>
      <c r="L433" s="121"/>
      <c r="M433" s="121" t="s">
        <v>311</v>
      </c>
      <c r="N433" s="121"/>
      <c r="O433" s="112">
        <v>1250</v>
      </c>
      <c r="P433" s="1"/>
    </row>
    <row r="434" spans="1:16" ht="12.75" x14ac:dyDescent="0.2">
      <c r="A434" s="121"/>
      <c r="B434" s="121"/>
      <c r="C434" s="121"/>
      <c r="D434" s="121"/>
      <c r="E434" s="121" t="s">
        <v>307</v>
      </c>
      <c r="F434" s="121"/>
      <c r="G434" s="122">
        <v>45329</v>
      </c>
      <c r="H434" s="121"/>
      <c r="I434" s="121" t="s">
        <v>779</v>
      </c>
      <c r="J434" s="121"/>
      <c r="K434" s="121" t="s">
        <v>53</v>
      </c>
      <c r="L434" s="121"/>
      <c r="M434" s="121" t="s">
        <v>640</v>
      </c>
      <c r="N434" s="121"/>
      <c r="O434" s="112">
        <v>300</v>
      </c>
      <c r="P434" s="1"/>
    </row>
    <row r="435" spans="1:16" ht="12.75" x14ac:dyDescent="0.2">
      <c r="A435" s="121"/>
      <c r="B435" s="121"/>
      <c r="C435" s="121"/>
      <c r="D435" s="121"/>
      <c r="E435" s="121" t="s">
        <v>307</v>
      </c>
      <c r="F435" s="121"/>
      <c r="G435" s="122">
        <v>45420</v>
      </c>
      <c r="H435" s="121"/>
      <c r="I435" s="121" t="s">
        <v>780</v>
      </c>
      <c r="J435" s="121"/>
      <c r="K435" s="121" t="s">
        <v>53</v>
      </c>
      <c r="L435" s="121"/>
      <c r="M435" s="121" t="s">
        <v>612</v>
      </c>
      <c r="N435" s="121"/>
      <c r="O435" s="112">
        <v>320</v>
      </c>
      <c r="P435" s="1"/>
    </row>
    <row r="436" spans="1:16" ht="12.75" x14ac:dyDescent="0.2">
      <c r="A436" s="121"/>
      <c r="B436" s="121"/>
      <c r="C436" s="121"/>
      <c r="D436" s="121"/>
      <c r="E436" s="121" t="s">
        <v>307</v>
      </c>
      <c r="F436" s="121"/>
      <c r="G436" s="122">
        <v>45505</v>
      </c>
      <c r="H436" s="121"/>
      <c r="I436" s="121" t="s">
        <v>1175</v>
      </c>
      <c r="J436" s="121"/>
      <c r="K436" s="121" t="s">
        <v>53</v>
      </c>
      <c r="L436" s="121"/>
      <c r="M436" s="121" t="s">
        <v>987</v>
      </c>
      <c r="N436" s="121"/>
      <c r="O436" s="112">
        <v>300</v>
      </c>
      <c r="P436" s="1"/>
    </row>
    <row r="437" spans="1:16" ht="12.75" x14ac:dyDescent="0.2">
      <c r="A437" s="121"/>
      <c r="B437" s="121"/>
      <c r="C437" s="121"/>
      <c r="D437" s="121"/>
      <c r="E437" s="121" t="s">
        <v>307</v>
      </c>
      <c r="F437" s="121"/>
      <c r="G437" s="122">
        <v>45303</v>
      </c>
      <c r="H437" s="121"/>
      <c r="I437" s="121" t="s">
        <v>781</v>
      </c>
      <c r="J437" s="121"/>
      <c r="K437" s="121" t="s">
        <v>404</v>
      </c>
      <c r="L437" s="121"/>
      <c r="M437" s="121" t="s">
        <v>462</v>
      </c>
      <c r="N437" s="121"/>
      <c r="O437" s="112">
        <v>541.66999999999996</v>
      </c>
      <c r="P437" s="1"/>
    </row>
    <row r="438" spans="1:16" ht="12.75" x14ac:dyDescent="0.2">
      <c r="A438" s="121"/>
      <c r="B438" s="121"/>
      <c r="C438" s="121"/>
      <c r="D438" s="121"/>
      <c r="E438" s="121" t="s">
        <v>307</v>
      </c>
      <c r="F438" s="121"/>
      <c r="G438" s="122">
        <v>45337</v>
      </c>
      <c r="H438" s="121"/>
      <c r="I438" s="121" t="s">
        <v>782</v>
      </c>
      <c r="J438" s="121"/>
      <c r="K438" s="121" t="s">
        <v>404</v>
      </c>
      <c r="L438" s="121"/>
      <c r="M438" s="121" t="s">
        <v>464</v>
      </c>
      <c r="N438" s="121"/>
      <c r="O438" s="112">
        <v>624.99</v>
      </c>
      <c r="P438" s="1"/>
    </row>
    <row r="439" spans="1:16" ht="12.75" x14ac:dyDescent="0.2">
      <c r="A439" s="121"/>
      <c r="B439" s="121"/>
      <c r="C439" s="121"/>
      <c r="D439" s="121"/>
      <c r="E439" s="121" t="s">
        <v>307</v>
      </c>
      <c r="F439" s="121"/>
      <c r="G439" s="122">
        <v>45366</v>
      </c>
      <c r="H439" s="121"/>
      <c r="I439" s="121" t="s">
        <v>783</v>
      </c>
      <c r="J439" s="121"/>
      <c r="K439" s="121" t="s">
        <v>404</v>
      </c>
      <c r="L439" s="121"/>
      <c r="M439" s="121" t="s">
        <v>420</v>
      </c>
      <c r="N439" s="121"/>
      <c r="O439" s="112">
        <v>583.34</v>
      </c>
      <c r="P439" s="1"/>
    </row>
    <row r="440" spans="1:16" ht="12.75" x14ac:dyDescent="0.2">
      <c r="A440" s="121"/>
      <c r="B440" s="121"/>
      <c r="C440" s="121"/>
      <c r="D440" s="121"/>
      <c r="E440" s="121" t="s">
        <v>307</v>
      </c>
      <c r="F440" s="121"/>
      <c r="G440" s="122">
        <v>45397</v>
      </c>
      <c r="H440" s="121"/>
      <c r="I440" s="121" t="s">
        <v>784</v>
      </c>
      <c r="J440" s="121"/>
      <c r="K440" s="121" t="s">
        <v>404</v>
      </c>
      <c r="L440" s="121"/>
      <c r="M440" s="121" t="s">
        <v>322</v>
      </c>
      <c r="N440" s="121"/>
      <c r="O440" s="112">
        <v>583.34</v>
      </c>
      <c r="P440" s="1"/>
    </row>
    <row r="441" spans="1:16" ht="12.75" x14ac:dyDescent="0.2">
      <c r="A441" s="121"/>
      <c r="B441" s="121"/>
      <c r="C441" s="121"/>
      <c r="D441" s="121"/>
      <c r="E441" s="121" t="s">
        <v>307</v>
      </c>
      <c r="F441" s="121"/>
      <c r="G441" s="122">
        <v>45427</v>
      </c>
      <c r="H441" s="121"/>
      <c r="I441" s="121" t="s">
        <v>785</v>
      </c>
      <c r="J441" s="121"/>
      <c r="K441" s="121" t="s">
        <v>404</v>
      </c>
      <c r="L441" s="121"/>
      <c r="M441" s="121" t="s">
        <v>311</v>
      </c>
      <c r="N441" s="121"/>
      <c r="O441" s="112">
        <v>583.34</v>
      </c>
      <c r="P441" s="1"/>
    </row>
    <row r="442" spans="1:16" ht="12.75" x14ac:dyDescent="0.2">
      <c r="A442" s="121"/>
      <c r="B442" s="121"/>
      <c r="C442" s="121"/>
      <c r="D442" s="121"/>
      <c r="E442" s="121" t="s">
        <v>307</v>
      </c>
      <c r="F442" s="121"/>
      <c r="G442" s="122">
        <v>45458</v>
      </c>
      <c r="H442" s="121"/>
      <c r="I442" s="121" t="s">
        <v>403</v>
      </c>
      <c r="J442" s="121"/>
      <c r="K442" s="121" t="s">
        <v>404</v>
      </c>
      <c r="L442" s="121"/>
      <c r="M442" s="121" t="s">
        <v>314</v>
      </c>
      <c r="N442" s="121"/>
      <c r="O442" s="112">
        <v>583.34</v>
      </c>
      <c r="P442" s="1"/>
    </row>
    <row r="443" spans="1:16" ht="12.75" x14ac:dyDescent="0.2">
      <c r="A443" s="121"/>
      <c r="B443" s="121"/>
      <c r="C443" s="121"/>
      <c r="D443" s="121"/>
      <c r="E443" s="121" t="s">
        <v>307</v>
      </c>
      <c r="F443" s="121"/>
      <c r="G443" s="122">
        <v>45488</v>
      </c>
      <c r="H443" s="121"/>
      <c r="I443" s="121" t="s">
        <v>1005</v>
      </c>
      <c r="J443" s="121"/>
      <c r="K443" s="121" t="s">
        <v>404</v>
      </c>
      <c r="L443" s="121"/>
      <c r="M443" s="121" t="s">
        <v>941</v>
      </c>
      <c r="N443" s="121"/>
      <c r="O443" s="112">
        <v>583.34</v>
      </c>
      <c r="P443" s="1"/>
    </row>
    <row r="444" spans="1:16" ht="12.75" x14ac:dyDescent="0.2">
      <c r="A444" s="121"/>
      <c r="B444" s="121"/>
      <c r="C444" s="121"/>
      <c r="D444" s="121"/>
      <c r="E444" s="121" t="s">
        <v>307</v>
      </c>
      <c r="F444" s="121"/>
      <c r="G444" s="122">
        <v>45519</v>
      </c>
      <c r="H444" s="121"/>
      <c r="I444" s="121" t="s">
        <v>1176</v>
      </c>
      <c r="J444" s="121"/>
      <c r="K444" s="121" t="s">
        <v>404</v>
      </c>
      <c r="L444" s="121"/>
      <c r="M444" s="121" t="s">
        <v>970</v>
      </c>
      <c r="N444" s="121"/>
      <c r="O444" s="112">
        <v>583.34</v>
      </c>
      <c r="P444" s="1"/>
    </row>
    <row r="445" spans="1:16" ht="12.75" x14ac:dyDescent="0.2">
      <c r="A445" s="121"/>
      <c r="B445" s="121"/>
      <c r="C445" s="121"/>
      <c r="D445" s="121"/>
      <c r="E445" s="121" t="s">
        <v>307</v>
      </c>
      <c r="F445" s="121"/>
      <c r="G445" s="122">
        <v>45299</v>
      </c>
      <c r="H445" s="121"/>
      <c r="I445" s="121" t="s">
        <v>786</v>
      </c>
      <c r="J445" s="121"/>
      <c r="K445" s="121" t="s">
        <v>406</v>
      </c>
      <c r="L445" s="121"/>
      <c r="M445" s="121" t="s">
        <v>462</v>
      </c>
      <c r="N445" s="121"/>
      <c r="O445" s="112">
        <v>3750</v>
      </c>
      <c r="P445" s="1"/>
    </row>
    <row r="446" spans="1:16" ht="12.75" x14ac:dyDescent="0.2">
      <c r="A446" s="121"/>
      <c r="B446" s="121"/>
      <c r="C446" s="121"/>
      <c r="D446" s="121"/>
      <c r="E446" s="121" t="s">
        <v>307</v>
      </c>
      <c r="F446" s="121"/>
      <c r="G446" s="122">
        <v>45363</v>
      </c>
      <c r="H446" s="121"/>
      <c r="I446" s="121" t="s">
        <v>787</v>
      </c>
      <c r="J446" s="121"/>
      <c r="K446" s="121" t="s">
        <v>406</v>
      </c>
      <c r="L446" s="121"/>
      <c r="M446" s="121" t="s">
        <v>420</v>
      </c>
      <c r="N446" s="121"/>
      <c r="O446" s="112">
        <v>3750</v>
      </c>
      <c r="P446" s="1"/>
    </row>
    <row r="447" spans="1:16" ht="12.75" x14ac:dyDescent="0.2">
      <c r="A447" s="121"/>
      <c r="B447" s="121"/>
      <c r="C447" s="121"/>
      <c r="D447" s="121"/>
      <c r="E447" s="121" t="s">
        <v>307</v>
      </c>
      <c r="F447" s="121"/>
      <c r="G447" s="122">
        <v>45330</v>
      </c>
      <c r="H447" s="121"/>
      <c r="I447" s="121" t="s">
        <v>788</v>
      </c>
      <c r="J447" s="121"/>
      <c r="K447" s="121" t="s">
        <v>406</v>
      </c>
      <c r="L447" s="121"/>
      <c r="M447" s="121" t="s">
        <v>464</v>
      </c>
      <c r="N447" s="121"/>
      <c r="O447" s="112">
        <v>3750</v>
      </c>
      <c r="P447" s="1"/>
    </row>
    <row r="448" spans="1:16" ht="12.75" x14ac:dyDescent="0.2">
      <c r="A448" s="121"/>
      <c r="B448" s="121"/>
      <c r="C448" s="121"/>
      <c r="D448" s="121"/>
      <c r="E448" s="121" t="s">
        <v>307</v>
      </c>
      <c r="F448" s="121"/>
      <c r="G448" s="122">
        <v>45391</v>
      </c>
      <c r="H448" s="121"/>
      <c r="I448" s="121" t="s">
        <v>789</v>
      </c>
      <c r="J448" s="121"/>
      <c r="K448" s="121" t="s">
        <v>406</v>
      </c>
      <c r="L448" s="121"/>
      <c r="M448" s="121" t="s">
        <v>322</v>
      </c>
      <c r="N448" s="121"/>
      <c r="O448" s="112">
        <v>3750</v>
      </c>
      <c r="P448" s="1"/>
    </row>
    <row r="449" spans="1:16" ht="12.75" x14ac:dyDescent="0.2">
      <c r="A449" s="121"/>
      <c r="B449" s="121"/>
      <c r="C449" s="121"/>
      <c r="D449" s="121"/>
      <c r="E449" s="121" t="s">
        <v>307</v>
      </c>
      <c r="F449" s="121"/>
      <c r="G449" s="122">
        <v>45425</v>
      </c>
      <c r="H449" s="121"/>
      <c r="I449" s="121" t="s">
        <v>790</v>
      </c>
      <c r="J449" s="121"/>
      <c r="K449" s="121" t="s">
        <v>406</v>
      </c>
      <c r="L449" s="121"/>
      <c r="M449" s="121" t="s">
        <v>311</v>
      </c>
      <c r="N449" s="121"/>
      <c r="O449" s="112">
        <v>3750</v>
      </c>
      <c r="P449" s="1"/>
    </row>
    <row r="450" spans="1:16" ht="12.75" x14ac:dyDescent="0.2">
      <c r="A450" s="121"/>
      <c r="B450" s="121"/>
      <c r="C450" s="121"/>
      <c r="D450" s="121"/>
      <c r="E450" s="121" t="s">
        <v>307</v>
      </c>
      <c r="F450" s="121"/>
      <c r="G450" s="122">
        <v>45450</v>
      </c>
      <c r="H450" s="121"/>
      <c r="I450" s="121" t="s">
        <v>405</v>
      </c>
      <c r="J450" s="121"/>
      <c r="K450" s="121" t="s">
        <v>406</v>
      </c>
      <c r="L450" s="121"/>
      <c r="M450" s="121" t="s">
        <v>314</v>
      </c>
      <c r="N450" s="121"/>
      <c r="O450" s="112">
        <v>3750</v>
      </c>
      <c r="P450" s="1"/>
    </row>
    <row r="451" spans="1:16" ht="12.75" x14ac:dyDescent="0.2">
      <c r="A451" s="121"/>
      <c r="B451" s="121"/>
      <c r="C451" s="121"/>
      <c r="D451" s="121"/>
      <c r="E451" s="121" t="s">
        <v>307</v>
      </c>
      <c r="F451" s="121"/>
      <c r="G451" s="122">
        <v>45489</v>
      </c>
      <c r="H451" s="121"/>
      <c r="I451" s="121" t="s">
        <v>1006</v>
      </c>
      <c r="J451" s="121"/>
      <c r="K451" s="121" t="s">
        <v>406</v>
      </c>
      <c r="L451" s="121"/>
      <c r="M451" s="121" t="s">
        <v>941</v>
      </c>
      <c r="N451" s="121"/>
      <c r="O451" s="112">
        <v>3750</v>
      </c>
      <c r="P451" s="1"/>
    </row>
    <row r="452" spans="1:16" ht="12.75" x14ac:dyDescent="0.2">
      <c r="A452" s="121"/>
      <c r="B452" s="121"/>
      <c r="C452" s="121"/>
      <c r="D452" s="121"/>
      <c r="E452" s="121" t="s">
        <v>307</v>
      </c>
      <c r="F452" s="121"/>
      <c r="G452" s="122">
        <v>45513</v>
      </c>
      <c r="H452" s="121"/>
      <c r="I452" s="121" t="s">
        <v>1177</v>
      </c>
      <c r="J452" s="121"/>
      <c r="K452" s="121" t="s">
        <v>406</v>
      </c>
      <c r="L452" s="121"/>
      <c r="M452" s="121" t="s">
        <v>970</v>
      </c>
      <c r="N452" s="121"/>
      <c r="O452" s="112">
        <v>3750</v>
      </c>
      <c r="P452" s="1"/>
    </row>
    <row r="453" spans="1:16" ht="12.75" x14ac:dyDescent="0.2">
      <c r="A453" s="121"/>
      <c r="B453" s="121"/>
      <c r="C453" s="121"/>
      <c r="D453" s="121"/>
      <c r="E453" s="121" t="s">
        <v>307</v>
      </c>
      <c r="F453" s="121"/>
      <c r="G453" s="122">
        <v>45323</v>
      </c>
      <c r="H453" s="121"/>
      <c r="I453" s="121" t="s">
        <v>791</v>
      </c>
      <c r="J453" s="121"/>
      <c r="K453" s="121" t="s">
        <v>171</v>
      </c>
      <c r="L453" s="121"/>
      <c r="M453" s="121" t="s">
        <v>462</v>
      </c>
      <c r="N453" s="121"/>
      <c r="O453" s="112">
        <v>750</v>
      </c>
      <c r="P453" s="1"/>
    </row>
    <row r="454" spans="1:16" ht="12.75" x14ac:dyDescent="0.2">
      <c r="A454" s="121"/>
      <c r="B454" s="121"/>
      <c r="C454" s="121"/>
      <c r="D454" s="121"/>
      <c r="E454" s="121" t="s">
        <v>307</v>
      </c>
      <c r="F454" s="121"/>
      <c r="G454" s="122">
        <v>45394</v>
      </c>
      <c r="H454" s="121"/>
      <c r="I454" s="121" t="s">
        <v>792</v>
      </c>
      <c r="J454" s="121"/>
      <c r="K454" s="121" t="s">
        <v>171</v>
      </c>
      <c r="L454" s="121"/>
      <c r="M454" s="121" t="s">
        <v>793</v>
      </c>
      <c r="N454" s="121"/>
      <c r="O454" s="112">
        <v>1500</v>
      </c>
      <c r="P454" s="1"/>
    </row>
    <row r="455" spans="1:16" ht="12.75" x14ac:dyDescent="0.2">
      <c r="A455" s="121"/>
      <c r="B455" s="121"/>
      <c r="C455" s="121"/>
      <c r="D455" s="121"/>
      <c r="E455" s="121" t="s">
        <v>307</v>
      </c>
      <c r="F455" s="121"/>
      <c r="G455" s="122">
        <v>45418</v>
      </c>
      <c r="H455" s="121"/>
      <c r="I455" s="121" t="s">
        <v>794</v>
      </c>
      <c r="J455" s="121"/>
      <c r="K455" s="121" t="s">
        <v>171</v>
      </c>
      <c r="L455" s="121"/>
      <c r="M455" s="121" t="s">
        <v>322</v>
      </c>
      <c r="N455" s="121"/>
      <c r="O455" s="112">
        <v>750</v>
      </c>
      <c r="P455" s="1"/>
    </row>
    <row r="456" spans="1:16" ht="12.75" x14ac:dyDescent="0.2">
      <c r="A456" s="121"/>
      <c r="B456" s="121"/>
      <c r="C456" s="121"/>
      <c r="D456" s="121"/>
      <c r="E456" s="121" t="s">
        <v>307</v>
      </c>
      <c r="F456" s="121"/>
      <c r="G456" s="122">
        <v>45450</v>
      </c>
      <c r="H456" s="121"/>
      <c r="I456" s="121" t="s">
        <v>407</v>
      </c>
      <c r="J456" s="121"/>
      <c r="K456" s="121" t="s">
        <v>171</v>
      </c>
      <c r="L456" s="121"/>
      <c r="M456" s="121" t="s">
        <v>311</v>
      </c>
      <c r="N456" s="121"/>
      <c r="O456" s="112">
        <v>750</v>
      </c>
      <c r="P456" s="1"/>
    </row>
    <row r="457" spans="1:16" ht="12.75" x14ac:dyDescent="0.2">
      <c r="A457" s="121"/>
      <c r="B457" s="121"/>
      <c r="C457" s="121"/>
      <c r="D457" s="121"/>
      <c r="E457" s="121" t="s">
        <v>307</v>
      </c>
      <c r="F457" s="121"/>
      <c r="G457" s="122">
        <v>45476</v>
      </c>
      <c r="H457" s="121"/>
      <c r="I457" s="121" t="s">
        <v>1007</v>
      </c>
      <c r="J457" s="121"/>
      <c r="K457" s="121" t="s">
        <v>171</v>
      </c>
      <c r="L457" s="121"/>
      <c r="M457" s="121" t="s">
        <v>314</v>
      </c>
      <c r="N457" s="121"/>
      <c r="O457" s="112">
        <v>750</v>
      </c>
      <c r="P457" s="1"/>
    </row>
    <row r="458" spans="1:16" ht="12.75" x14ac:dyDescent="0.2">
      <c r="A458" s="121"/>
      <c r="B458" s="121"/>
      <c r="C458" s="121"/>
      <c r="D458" s="121"/>
      <c r="E458" s="121" t="s">
        <v>307</v>
      </c>
      <c r="F458" s="121"/>
      <c r="G458" s="122">
        <v>45506</v>
      </c>
      <c r="H458" s="121"/>
      <c r="I458" s="121" t="s">
        <v>1178</v>
      </c>
      <c r="J458" s="121"/>
      <c r="K458" s="121" t="s">
        <v>171</v>
      </c>
      <c r="L458" s="121"/>
      <c r="M458" s="121" t="s">
        <v>941</v>
      </c>
      <c r="N458" s="121"/>
      <c r="O458" s="112">
        <v>750</v>
      </c>
      <c r="P458" s="1"/>
    </row>
    <row r="459" spans="1:16" ht="12.75" x14ac:dyDescent="0.2">
      <c r="A459" s="121"/>
      <c r="B459" s="121"/>
      <c r="C459" s="121"/>
      <c r="D459" s="121"/>
      <c r="E459" s="121" t="s">
        <v>307</v>
      </c>
      <c r="F459" s="121"/>
      <c r="G459" s="122">
        <v>45329</v>
      </c>
      <c r="H459" s="121"/>
      <c r="I459" s="121" t="s">
        <v>795</v>
      </c>
      <c r="J459" s="121"/>
      <c r="K459" s="121" t="s">
        <v>409</v>
      </c>
      <c r="L459" s="121"/>
      <c r="M459" s="121" t="s">
        <v>462</v>
      </c>
      <c r="N459" s="121"/>
      <c r="O459" s="112">
        <v>2035.01</v>
      </c>
      <c r="P459" s="1"/>
    </row>
    <row r="460" spans="1:16" ht="12.75" x14ac:dyDescent="0.2">
      <c r="A460" s="121"/>
      <c r="B460" s="121"/>
      <c r="C460" s="121"/>
      <c r="D460" s="121"/>
      <c r="E460" s="121" t="s">
        <v>307</v>
      </c>
      <c r="F460" s="121"/>
      <c r="G460" s="122">
        <v>45358</v>
      </c>
      <c r="H460" s="121"/>
      <c r="I460" s="121" t="s">
        <v>796</v>
      </c>
      <c r="J460" s="121"/>
      <c r="K460" s="121" t="s">
        <v>409</v>
      </c>
      <c r="L460" s="121"/>
      <c r="M460" s="121" t="s">
        <v>464</v>
      </c>
      <c r="N460" s="121"/>
      <c r="O460" s="112">
        <v>3307</v>
      </c>
      <c r="P460" s="1"/>
    </row>
    <row r="461" spans="1:16" ht="12.75" x14ac:dyDescent="0.2">
      <c r="A461" s="121"/>
      <c r="B461" s="121"/>
      <c r="C461" s="121"/>
      <c r="D461" s="121"/>
      <c r="E461" s="121" t="s">
        <v>307</v>
      </c>
      <c r="F461" s="121"/>
      <c r="G461" s="122">
        <v>45391</v>
      </c>
      <c r="H461" s="121"/>
      <c r="I461" s="121" t="s">
        <v>797</v>
      </c>
      <c r="J461" s="121"/>
      <c r="K461" s="121" t="s">
        <v>409</v>
      </c>
      <c r="L461" s="121"/>
      <c r="M461" s="121" t="s">
        <v>420</v>
      </c>
      <c r="N461" s="121"/>
      <c r="O461" s="112">
        <v>3688.4</v>
      </c>
      <c r="P461" s="1"/>
    </row>
    <row r="462" spans="1:16" ht="12.75" x14ac:dyDescent="0.2">
      <c r="A462" s="121"/>
      <c r="B462" s="121"/>
      <c r="C462" s="121"/>
      <c r="D462" s="121"/>
      <c r="E462" s="121" t="s">
        <v>307</v>
      </c>
      <c r="F462" s="121"/>
      <c r="G462" s="122">
        <v>45420</v>
      </c>
      <c r="H462" s="121"/>
      <c r="I462" s="121" t="s">
        <v>798</v>
      </c>
      <c r="J462" s="121"/>
      <c r="K462" s="121" t="s">
        <v>409</v>
      </c>
      <c r="L462" s="121"/>
      <c r="M462" s="121" t="s">
        <v>322</v>
      </c>
      <c r="N462" s="121"/>
      <c r="O462" s="112">
        <v>2523.6</v>
      </c>
      <c r="P462" s="1"/>
    </row>
    <row r="463" spans="1:16" ht="12.75" x14ac:dyDescent="0.2">
      <c r="A463" s="121"/>
      <c r="B463" s="121"/>
      <c r="C463" s="121"/>
      <c r="D463" s="121"/>
      <c r="E463" s="121" t="s">
        <v>307</v>
      </c>
      <c r="F463" s="121"/>
      <c r="G463" s="122">
        <v>45447</v>
      </c>
      <c r="H463" s="121"/>
      <c r="I463" s="121" t="s">
        <v>408</v>
      </c>
      <c r="J463" s="121"/>
      <c r="K463" s="121" t="s">
        <v>409</v>
      </c>
      <c r="L463" s="121"/>
      <c r="M463" s="121" t="s">
        <v>311</v>
      </c>
      <c r="N463" s="121"/>
      <c r="O463" s="112">
        <v>2260.4</v>
      </c>
      <c r="P463" s="1"/>
    </row>
    <row r="464" spans="1:16" ht="12.75" x14ac:dyDescent="0.2">
      <c r="A464" s="121"/>
      <c r="B464" s="121"/>
      <c r="C464" s="121"/>
      <c r="D464" s="121"/>
      <c r="E464" s="121" t="s">
        <v>307</v>
      </c>
      <c r="F464" s="121"/>
      <c r="G464" s="122">
        <v>45482</v>
      </c>
      <c r="H464" s="121"/>
      <c r="I464" s="121" t="s">
        <v>1008</v>
      </c>
      <c r="J464" s="121"/>
      <c r="K464" s="121" t="s">
        <v>409</v>
      </c>
      <c r="L464" s="121"/>
      <c r="M464" s="121" t="s">
        <v>314</v>
      </c>
      <c r="N464" s="121"/>
      <c r="O464" s="112">
        <v>3440.18</v>
      </c>
      <c r="P464" s="1"/>
    </row>
    <row r="465" spans="1:16" ht="12.75" x14ac:dyDescent="0.2">
      <c r="A465" s="121"/>
      <c r="B465" s="121"/>
      <c r="C465" s="121"/>
      <c r="D465" s="121"/>
      <c r="E465" s="121" t="s">
        <v>307</v>
      </c>
      <c r="F465" s="121"/>
      <c r="G465" s="122">
        <v>45510</v>
      </c>
      <c r="H465" s="121"/>
      <c r="I465" s="121" t="s">
        <v>1179</v>
      </c>
      <c r="J465" s="121"/>
      <c r="K465" s="121" t="s">
        <v>409</v>
      </c>
      <c r="L465" s="121"/>
      <c r="M465" s="121" t="s">
        <v>941</v>
      </c>
      <c r="N465" s="121"/>
      <c r="O465" s="112">
        <v>2278.31</v>
      </c>
      <c r="P465" s="1"/>
    </row>
    <row r="466" spans="1:16" ht="12.75" x14ac:dyDescent="0.2">
      <c r="A466" s="121"/>
      <c r="B466" s="121"/>
      <c r="C466" s="121"/>
      <c r="D466" s="121"/>
      <c r="E466" s="121" t="s">
        <v>307</v>
      </c>
      <c r="F466" s="121"/>
      <c r="G466" s="122">
        <v>45300</v>
      </c>
      <c r="H466" s="121"/>
      <c r="I466" s="121" t="s">
        <v>799</v>
      </c>
      <c r="J466" s="121"/>
      <c r="K466" s="121" t="s">
        <v>800</v>
      </c>
      <c r="L466" s="121"/>
      <c r="M466" s="121" t="s">
        <v>462</v>
      </c>
      <c r="N466" s="121"/>
      <c r="O466" s="112">
        <v>167</v>
      </c>
      <c r="P466" s="1"/>
    </row>
    <row r="467" spans="1:16" ht="12.75" x14ac:dyDescent="0.2">
      <c r="A467" s="121"/>
      <c r="B467" s="121"/>
      <c r="C467" s="121"/>
      <c r="D467" s="121"/>
      <c r="E467" s="121" t="s">
        <v>307</v>
      </c>
      <c r="F467" s="121"/>
      <c r="G467" s="122">
        <v>45334</v>
      </c>
      <c r="H467" s="121"/>
      <c r="I467" s="121" t="s">
        <v>801</v>
      </c>
      <c r="J467" s="121"/>
      <c r="K467" s="121" t="s">
        <v>800</v>
      </c>
      <c r="L467" s="121"/>
      <c r="M467" s="121" t="s">
        <v>464</v>
      </c>
      <c r="N467" s="121"/>
      <c r="O467" s="112">
        <v>167</v>
      </c>
      <c r="P467" s="1"/>
    </row>
    <row r="468" spans="1:16" ht="12.75" x14ac:dyDescent="0.2">
      <c r="A468" s="121"/>
      <c r="B468" s="121"/>
      <c r="C468" s="121"/>
      <c r="D468" s="121"/>
      <c r="E468" s="121" t="s">
        <v>307</v>
      </c>
      <c r="F468" s="121"/>
      <c r="G468" s="122">
        <v>45363</v>
      </c>
      <c r="H468" s="121"/>
      <c r="I468" s="121" t="s">
        <v>802</v>
      </c>
      <c r="J468" s="121"/>
      <c r="K468" s="121" t="s">
        <v>800</v>
      </c>
      <c r="L468" s="121"/>
      <c r="M468" s="121" t="s">
        <v>420</v>
      </c>
      <c r="N468" s="121"/>
      <c r="O468" s="112">
        <v>167</v>
      </c>
      <c r="P468" s="1"/>
    </row>
    <row r="469" spans="1:16" ht="12.75" x14ac:dyDescent="0.2">
      <c r="A469" s="121"/>
      <c r="B469" s="121"/>
      <c r="C469" s="121"/>
      <c r="D469" s="121"/>
      <c r="E469" s="121" t="s">
        <v>307</v>
      </c>
      <c r="F469" s="121"/>
      <c r="G469" s="122">
        <v>45420</v>
      </c>
      <c r="H469" s="121"/>
      <c r="I469" s="121" t="s">
        <v>803</v>
      </c>
      <c r="J469" s="121"/>
      <c r="K469" s="121" t="s">
        <v>800</v>
      </c>
      <c r="L469" s="121"/>
      <c r="M469" s="121" t="s">
        <v>322</v>
      </c>
      <c r="N469" s="121"/>
      <c r="O469" s="112">
        <v>167</v>
      </c>
      <c r="P469" s="1"/>
    </row>
    <row r="470" spans="1:16" ht="12.75" x14ac:dyDescent="0.2">
      <c r="A470" s="121"/>
      <c r="B470" s="121"/>
      <c r="C470" s="121"/>
      <c r="D470" s="121"/>
      <c r="E470" s="121" t="s">
        <v>307</v>
      </c>
      <c r="F470" s="121"/>
      <c r="G470" s="122">
        <v>45420</v>
      </c>
      <c r="H470" s="121"/>
      <c r="I470" s="121" t="s">
        <v>804</v>
      </c>
      <c r="J470" s="121"/>
      <c r="K470" s="121" t="s">
        <v>800</v>
      </c>
      <c r="L470" s="121"/>
      <c r="M470" s="121" t="s">
        <v>311</v>
      </c>
      <c r="N470" s="121"/>
      <c r="O470" s="112">
        <v>167</v>
      </c>
      <c r="P470" s="1"/>
    </row>
    <row r="471" spans="1:16" ht="12.75" x14ac:dyDescent="0.2">
      <c r="A471" s="121"/>
      <c r="B471" s="121"/>
      <c r="C471" s="121"/>
      <c r="D471" s="121"/>
      <c r="E471" s="121" t="s">
        <v>307</v>
      </c>
      <c r="F471" s="121"/>
      <c r="G471" s="122">
        <v>45442</v>
      </c>
      <c r="H471" s="121"/>
      <c r="I471" s="121" t="s">
        <v>805</v>
      </c>
      <c r="J471" s="121"/>
      <c r="K471" s="121" t="s">
        <v>800</v>
      </c>
      <c r="L471" s="121"/>
      <c r="M471" s="121" t="s">
        <v>314</v>
      </c>
      <c r="N471" s="121"/>
      <c r="O471" s="112">
        <v>167</v>
      </c>
      <c r="P471" s="1"/>
    </row>
    <row r="472" spans="1:16" ht="12.75" x14ac:dyDescent="0.2">
      <c r="A472" s="121"/>
      <c r="B472" s="121"/>
      <c r="C472" s="121"/>
      <c r="D472" s="121"/>
      <c r="E472" s="121" t="s">
        <v>307</v>
      </c>
      <c r="F472" s="121"/>
      <c r="G472" s="122">
        <v>45483</v>
      </c>
      <c r="H472" s="121"/>
      <c r="I472" s="121" t="s">
        <v>1009</v>
      </c>
      <c r="J472" s="121"/>
      <c r="K472" s="121" t="s">
        <v>800</v>
      </c>
      <c r="L472" s="121"/>
      <c r="M472" s="121" t="s">
        <v>941</v>
      </c>
      <c r="N472" s="121"/>
      <c r="O472" s="112">
        <v>167</v>
      </c>
      <c r="P472" s="1"/>
    </row>
    <row r="473" spans="1:16" ht="12.75" x14ac:dyDescent="0.2">
      <c r="A473" s="121"/>
      <c r="B473" s="121"/>
      <c r="C473" s="121"/>
      <c r="D473" s="121"/>
      <c r="E473" s="121" t="s">
        <v>307</v>
      </c>
      <c r="F473" s="121"/>
      <c r="G473" s="122">
        <v>45505</v>
      </c>
      <c r="H473" s="121"/>
      <c r="I473" s="121" t="s">
        <v>1180</v>
      </c>
      <c r="J473" s="121"/>
      <c r="K473" s="121" t="s">
        <v>800</v>
      </c>
      <c r="L473" s="121"/>
      <c r="M473" s="121" t="s">
        <v>970</v>
      </c>
      <c r="N473" s="121"/>
      <c r="O473" s="112">
        <v>167</v>
      </c>
      <c r="P473" s="1"/>
    </row>
    <row r="474" spans="1:16" ht="12.75" x14ac:dyDescent="0.2">
      <c r="A474" s="121"/>
      <c r="B474" s="121"/>
      <c r="C474" s="121"/>
      <c r="D474" s="121"/>
      <c r="E474" s="121" t="s">
        <v>307</v>
      </c>
      <c r="F474" s="121"/>
      <c r="G474" s="122">
        <v>45309</v>
      </c>
      <c r="H474" s="121"/>
      <c r="I474" s="121" t="s">
        <v>806</v>
      </c>
      <c r="J474" s="121"/>
      <c r="K474" s="121" t="s">
        <v>411</v>
      </c>
      <c r="L474" s="121"/>
      <c r="M474" s="121" t="s">
        <v>482</v>
      </c>
      <c r="N474" s="121"/>
      <c r="O474" s="112">
        <v>100</v>
      </c>
      <c r="P474" s="1"/>
    </row>
    <row r="475" spans="1:16" ht="12.75" x14ac:dyDescent="0.2">
      <c r="A475" s="121"/>
      <c r="B475" s="121"/>
      <c r="C475" s="121"/>
      <c r="D475" s="121"/>
      <c r="E475" s="121" t="s">
        <v>307</v>
      </c>
      <c r="F475" s="121"/>
      <c r="G475" s="122">
        <v>45344</v>
      </c>
      <c r="H475" s="121"/>
      <c r="I475" s="121" t="s">
        <v>807</v>
      </c>
      <c r="J475" s="121"/>
      <c r="K475" s="121" t="s">
        <v>411</v>
      </c>
      <c r="L475" s="121"/>
      <c r="M475" s="121" t="s">
        <v>462</v>
      </c>
      <c r="N475" s="121"/>
      <c r="O475" s="112">
        <v>125</v>
      </c>
      <c r="P475" s="1"/>
    </row>
    <row r="476" spans="1:16" ht="12.75" x14ac:dyDescent="0.2">
      <c r="A476" s="121"/>
      <c r="B476" s="121"/>
      <c r="C476" s="121"/>
      <c r="D476" s="121"/>
      <c r="E476" s="121" t="s">
        <v>307</v>
      </c>
      <c r="F476" s="121"/>
      <c r="G476" s="122">
        <v>45376</v>
      </c>
      <c r="H476" s="121"/>
      <c r="I476" s="121" t="s">
        <v>808</v>
      </c>
      <c r="J476" s="121"/>
      <c r="K476" s="121" t="s">
        <v>411</v>
      </c>
      <c r="L476" s="121"/>
      <c r="M476" s="121" t="s">
        <v>464</v>
      </c>
      <c r="N476" s="121"/>
      <c r="O476" s="112">
        <v>100</v>
      </c>
      <c r="P476" s="1"/>
    </row>
    <row r="477" spans="1:16" ht="12.75" x14ac:dyDescent="0.2">
      <c r="A477" s="121"/>
      <c r="B477" s="121"/>
      <c r="C477" s="121"/>
      <c r="D477" s="121"/>
      <c r="E477" s="121" t="s">
        <v>307</v>
      </c>
      <c r="F477" s="121"/>
      <c r="G477" s="122">
        <v>45405</v>
      </c>
      <c r="H477" s="121"/>
      <c r="I477" s="121" t="s">
        <v>809</v>
      </c>
      <c r="J477" s="121"/>
      <c r="K477" s="121" t="s">
        <v>411</v>
      </c>
      <c r="L477" s="121"/>
      <c r="M477" s="121" t="s">
        <v>420</v>
      </c>
      <c r="N477" s="121"/>
      <c r="O477" s="112">
        <v>125</v>
      </c>
      <c r="P477" s="1"/>
    </row>
    <row r="478" spans="1:16" ht="12.75" x14ac:dyDescent="0.2">
      <c r="A478" s="121"/>
      <c r="B478" s="121"/>
      <c r="C478" s="121"/>
      <c r="D478" s="121"/>
      <c r="E478" s="121" t="s">
        <v>307</v>
      </c>
      <c r="F478" s="121"/>
      <c r="G478" s="122">
        <v>45432</v>
      </c>
      <c r="H478" s="121"/>
      <c r="I478" s="121" t="s">
        <v>810</v>
      </c>
      <c r="J478" s="121"/>
      <c r="K478" s="121" t="s">
        <v>411</v>
      </c>
      <c r="L478" s="121"/>
      <c r="M478" s="121" t="s">
        <v>322</v>
      </c>
      <c r="N478" s="121"/>
      <c r="O478" s="112">
        <v>100</v>
      </c>
      <c r="P478" s="1"/>
    </row>
    <row r="479" spans="1:16" ht="12.75" x14ac:dyDescent="0.2">
      <c r="A479" s="121"/>
      <c r="B479" s="121"/>
      <c r="C479" s="121"/>
      <c r="D479" s="121"/>
      <c r="E479" s="121" t="s">
        <v>307</v>
      </c>
      <c r="F479" s="121"/>
      <c r="G479" s="122">
        <v>45468</v>
      </c>
      <c r="H479" s="121"/>
      <c r="I479" s="121" t="s">
        <v>410</v>
      </c>
      <c r="J479" s="121"/>
      <c r="K479" s="121" t="s">
        <v>411</v>
      </c>
      <c r="L479" s="121"/>
      <c r="M479" s="121" t="s">
        <v>311</v>
      </c>
      <c r="N479" s="121"/>
      <c r="O479" s="112">
        <v>100</v>
      </c>
      <c r="P479" s="1"/>
    </row>
    <row r="480" spans="1:16" ht="12.75" x14ac:dyDescent="0.2">
      <c r="A480" s="121"/>
      <c r="B480" s="121"/>
      <c r="C480" s="121"/>
      <c r="D480" s="121"/>
      <c r="E480" s="121" t="s">
        <v>307</v>
      </c>
      <c r="F480" s="121"/>
      <c r="G480" s="122">
        <v>45496</v>
      </c>
      <c r="H480" s="121"/>
      <c r="I480" s="121" t="s">
        <v>1010</v>
      </c>
      <c r="J480" s="121"/>
      <c r="K480" s="121" t="s">
        <v>411</v>
      </c>
      <c r="L480" s="121"/>
      <c r="M480" s="121" t="s">
        <v>314</v>
      </c>
      <c r="N480" s="121"/>
      <c r="O480" s="112">
        <v>100</v>
      </c>
      <c r="P480" s="1"/>
    </row>
    <row r="481" spans="1:16" ht="12.75" x14ac:dyDescent="0.2">
      <c r="A481" s="121"/>
      <c r="B481" s="121"/>
      <c r="C481" s="121"/>
      <c r="D481" s="121"/>
      <c r="E481" s="121" t="s">
        <v>307</v>
      </c>
      <c r="F481" s="121"/>
      <c r="G481" s="122">
        <v>45520</v>
      </c>
      <c r="H481" s="121"/>
      <c r="I481" s="121" t="s">
        <v>1181</v>
      </c>
      <c r="J481" s="121"/>
      <c r="K481" s="121" t="s">
        <v>411</v>
      </c>
      <c r="L481" s="121"/>
      <c r="M481" s="121" t="s">
        <v>941</v>
      </c>
      <c r="N481" s="121"/>
      <c r="O481" s="112">
        <v>100</v>
      </c>
      <c r="P481" s="1"/>
    </row>
    <row r="482" spans="1:16" ht="12.75" x14ac:dyDescent="0.2">
      <c r="A482" s="121"/>
      <c r="B482" s="121"/>
      <c r="C482" s="121"/>
      <c r="D482" s="121"/>
      <c r="E482" s="121" t="s">
        <v>307</v>
      </c>
      <c r="F482" s="121"/>
      <c r="G482" s="122">
        <v>45320</v>
      </c>
      <c r="H482" s="121"/>
      <c r="I482" s="121" t="s">
        <v>811</v>
      </c>
      <c r="J482" s="121"/>
      <c r="K482" s="121" t="s">
        <v>812</v>
      </c>
      <c r="L482" s="121"/>
      <c r="M482" s="121" t="s">
        <v>462</v>
      </c>
      <c r="N482" s="121"/>
      <c r="O482" s="112">
        <v>233.34</v>
      </c>
      <c r="P482" s="1"/>
    </row>
    <row r="483" spans="1:16" ht="12.75" x14ac:dyDescent="0.2">
      <c r="A483" s="121"/>
      <c r="B483" s="121"/>
      <c r="C483" s="121"/>
      <c r="D483" s="121"/>
      <c r="E483" s="121" t="s">
        <v>307</v>
      </c>
      <c r="F483" s="121"/>
      <c r="G483" s="122">
        <v>45337</v>
      </c>
      <c r="H483" s="121"/>
      <c r="I483" s="121" t="s">
        <v>813</v>
      </c>
      <c r="J483" s="121"/>
      <c r="K483" s="121" t="s">
        <v>812</v>
      </c>
      <c r="L483" s="121"/>
      <c r="M483" s="121" t="s">
        <v>464</v>
      </c>
      <c r="N483" s="121"/>
      <c r="O483" s="112">
        <v>233.34</v>
      </c>
      <c r="P483" s="1"/>
    </row>
    <row r="484" spans="1:16" ht="12.75" x14ac:dyDescent="0.2">
      <c r="A484" s="121"/>
      <c r="B484" s="121"/>
      <c r="C484" s="121"/>
      <c r="D484" s="121"/>
      <c r="E484" s="121" t="s">
        <v>307</v>
      </c>
      <c r="F484" s="121"/>
      <c r="G484" s="122">
        <v>45363</v>
      </c>
      <c r="H484" s="121"/>
      <c r="I484" s="121" t="s">
        <v>814</v>
      </c>
      <c r="J484" s="121"/>
      <c r="K484" s="121" t="s">
        <v>812</v>
      </c>
      <c r="L484" s="121"/>
      <c r="M484" s="121" t="s">
        <v>420</v>
      </c>
      <c r="N484" s="121"/>
      <c r="O484" s="112">
        <v>233.34</v>
      </c>
      <c r="P484" s="1"/>
    </row>
    <row r="485" spans="1:16" ht="12.75" x14ac:dyDescent="0.2">
      <c r="A485" s="121"/>
      <c r="B485" s="121"/>
      <c r="C485" s="121"/>
      <c r="D485" s="121"/>
      <c r="E485" s="121" t="s">
        <v>307</v>
      </c>
      <c r="F485" s="121"/>
      <c r="G485" s="122">
        <v>45401</v>
      </c>
      <c r="H485" s="121"/>
      <c r="I485" s="121" t="s">
        <v>815</v>
      </c>
      <c r="J485" s="121"/>
      <c r="K485" s="121" t="s">
        <v>812</v>
      </c>
      <c r="L485" s="121"/>
      <c r="M485" s="121" t="s">
        <v>322</v>
      </c>
      <c r="N485" s="121"/>
      <c r="O485" s="112">
        <v>233.34</v>
      </c>
      <c r="P485" s="1"/>
    </row>
    <row r="486" spans="1:16" ht="12.75" x14ac:dyDescent="0.2">
      <c r="A486" s="121"/>
      <c r="B486" s="121"/>
      <c r="C486" s="121"/>
      <c r="D486" s="121"/>
      <c r="E486" s="121" t="s">
        <v>307</v>
      </c>
      <c r="F486" s="121"/>
      <c r="G486" s="122">
        <v>45440</v>
      </c>
      <c r="H486" s="121"/>
      <c r="I486" s="121" t="s">
        <v>816</v>
      </c>
      <c r="J486" s="121"/>
      <c r="K486" s="121" t="s">
        <v>812</v>
      </c>
      <c r="L486" s="121"/>
      <c r="M486" s="121" t="s">
        <v>311</v>
      </c>
      <c r="N486" s="121"/>
      <c r="O486" s="112">
        <v>233.33</v>
      </c>
      <c r="P486" s="1"/>
    </row>
    <row r="487" spans="1:16" ht="12.75" x14ac:dyDescent="0.2">
      <c r="A487" s="121"/>
      <c r="B487" s="121"/>
      <c r="C487" s="121"/>
      <c r="D487" s="121"/>
      <c r="E487" s="121" t="s">
        <v>307</v>
      </c>
      <c r="F487" s="121"/>
      <c r="G487" s="122">
        <v>45478</v>
      </c>
      <c r="H487" s="121"/>
      <c r="I487" s="121" t="s">
        <v>1011</v>
      </c>
      <c r="J487" s="121"/>
      <c r="K487" s="121" t="s">
        <v>812</v>
      </c>
      <c r="L487" s="121"/>
      <c r="M487" s="121" t="s">
        <v>314</v>
      </c>
      <c r="N487" s="121"/>
      <c r="O487" s="112">
        <v>233.33</v>
      </c>
      <c r="P487" s="1"/>
    </row>
    <row r="488" spans="1:16" ht="12.75" x14ac:dyDescent="0.2">
      <c r="A488" s="121"/>
      <c r="B488" s="121"/>
      <c r="C488" s="121"/>
      <c r="D488" s="121"/>
      <c r="E488" s="121" t="s">
        <v>307</v>
      </c>
      <c r="F488" s="121"/>
      <c r="G488" s="122">
        <v>45491</v>
      </c>
      <c r="H488" s="121"/>
      <c r="I488" s="121" t="s">
        <v>1012</v>
      </c>
      <c r="J488" s="121"/>
      <c r="K488" s="121" t="s">
        <v>812</v>
      </c>
      <c r="L488" s="121"/>
      <c r="M488" s="121" t="s">
        <v>941</v>
      </c>
      <c r="N488" s="121"/>
      <c r="O488" s="112">
        <v>233.33</v>
      </c>
      <c r="P488" s="1"/>
    </row>
    <row r="489" spans="1:16" ht="12.75" x14ac:dyDescent="0.2">
      <c r="A489" s="121"/>
      <c r="B489" s="121"/>
      <c r="C489" s="121"/>
      <c r="D489" s="121"/>
      <c r="E489" s="121" t="s">
        <v>307</v>
      </c>
      <c r="F489" s="121"/>
      <c r="G489" s="122">
        <v>45517</v>
      </c>
      <c r="H489" s="121"/>
      <c r="I489" s="121" t="s">
        <v>1182</v>
      </c>
      <c r="J489" s="121"/>
      <c r="K489" s="121" t="s">
        <v>812</v>
      </c>
      <c r="L489" s="121"/>
      <c r="M489" s="121" t="s">
        <v>970</v>
      </c>
      <c r="N489" s="121"/>
      <c r="O489" s="112">
        <v>233.33</v>
      </c>
      <c r="P489" s="1"/>
    </row>
    <row r="490" spans="1:16" ht="12.75" x14ac:dyDescent="0.2">
      <c r="A490" s="121"/>
      <c r="B490" s="121"/>
      <c r="C490" s="121"/>
      <c r="D490" s="121"/>
      <c r="E490" s="121" t="s">
        <v>307</v>
      </c>
      <c r="F490" s="121"/>
      <c r="G490" s="122">
        <v>45316</v>
      </c>
      <c r="H490" s="121"/>
      <c r="I490" s="121" t="s">
        <v>817</v>
      </c>
      <c r="J490" s="121"/>
      <c r="K490" s="121" t="s">
        <v>413</v>
      </c>
      <c r="L490" s="121"/>
      <c r="M490" s="121" t="s">
        <v>462</v>
      </c>
      <c r="N490" s="121"/>
      <c r="O490" s="112">
        <v>9166.67</v>
      </c>
      <c r="P490" s="1"/>
    </row>
    <row r="491" spans="1:16" ht="12.75" x14ac:dyDescent="0.2">
      <c r="A491" s="121"/>
      <c r="B491" s="121"/>
      <c r="C491" s="121"/>
      <c r="D491" s="121"/>
      <c r="E491" s="121" t="s">
        <v>307</v>
      </c>
      <c r="F491" s="121"/>
      <c r="G491" s="122">
        <v>45338</v>
      </c>
      <c r="H491" s="121"/>
      <c r="I491" s="121" t="s">
        <v>818</v>
      </c>
      <c r="J491" s="121"/>
      <c r="K491" s="121" t="s">
        <v>413</v>
      </c>
      <c r="L491" s="121"/>
      <c r="M491" s="121" t="s">
        <v>464</v>
      </c>
      <c r="N491" s="121"/>
      <c r="O491" s="112">
        <v>9166.67</v>
      </c>
      <c r="P491" s="1"/>
    </row>
    <row r="492" spans="1:16" ht="12.75" x14ac:dyDescent="0.2">
      <c r="A492" s="121"/>
      <c r="B492" s="121"/>
      <c r="C492" s="121"/>
      <c r="D492" s="121"/>
      <c r="E492" s="121" t="s">
        <v>307</v>
      </c>
      <c r="F492" s="121"/>
      <c r="G492" s="122">
        <v>45371</v>
      </c>
      <c r="H492" s="121"/>
      <c r="I492" s="121" t="s">
        <v>819</v>
      </c>
      <c r="J492" s="121"/>
      <c r="K492" s="121" t="s">
        <v>413</v>
      </c>
      <c r="L492" s="121"/>
      <c r="M492" s="121" t="s">
        <v>420</v>
      </c>
      <c r="N492" s="121"/>
      <c r="O492" s="112">
        <v>9166.67</v>
      </c>
      <c r="P492" s="1"/>
    </row>
    <row r="493" spans="1:16" ht="12.75" x14ac:dyDescent="0.2">
      <c r="A493" s="121"/>
      <c r="B493" s="121"/>
      <c r="C493" s="121"/>
      <c r="D493" s="121"/>
      <c r="E493" s="121" t="s">
        <v>307</v>
      </c>
      <c r="F493" s="121"/>
      <c r="G493" s="122">
        <v>45391</v>
      </c>
      <c r="H493" s="121"/>
      <c r="I493" s="121" t="s">
        <v>820</v>
      </c>
      <c r="J493" s="121"/>
      <c r="K493" s="121" t="s">
        <v>413</v>
      </c>
      <c r="L493" s="121"/>
      <c r="M493" s="121" t="s">
        <v>322</v>
      </c>
      <c r="N493" s="121"/>
      <c r="O493" s="112">
        <v>9166.67</v>
      </c>
      <c r="P493" s="1"/>
    </row>
    <row r="494" spans="1:16" ht="12.75" x14ac:dyDescent="0.2">
      <c r="A494" s="121"/>
      <c r="B494" s="121"/>
      <c r="C494" s="121"/>
      <c r="D494" s="121"/>
      <c r="E494" s="121" t="s">
        <v>307</v>
      </c>
      <c r="F494" s="121"/>
      <c r="G494" s="122">
        <v>45450</v>
      </c>
      <c r="H494" s="121"/>
      <c r="I494" s="121" t="s">
        <v>412</v>
      </c>
      <c r="J494" s="121"/>
      <c r="K494" s="121" t="s">
        <v>413</v>
      </c>
      <c r="L494" s="121"/>
      <c r="M494" s="121" t="s">
        <v>311</v>
      </c>
      <c r="N494" s="121"/>
      <c r="O494" s="112">
        <v>9166.67</v>
      </c>
      <c r="P494" s="1"/>
    </row>
    <row r="495" spans="1:16" ht="12.75" x14ac:dyDescent="0.2">
      <c r="A495" s="121"/>
      <c r="B495" s="121"/>
      <c r="C495" s="121"/>
      <c r="D495" s="121"/>
      <c r="E495" s="121" t="s">
        <v>307</v>
      </c>
      <c r="F495" s="121"/>
      <c r="G495" s="122">
        <v>45461</v>
      </c>
      <c r="H495" s="121"/>
      <c r="I495" s="121" t="s">
        <v>414</v>
      </c>
      <c r="J495" s="121"/>
      <c r="K495" s="121" t="s">
        <v>413</v>
      </c>
      <c r="L495" s="121"/>
      <c r="M495" s="121" t="s">
        <v>314</v>
      </c>
      <c r="N495" s="121"/>
      <c r="O495" s="112">
        <v>9166.67</v>
      </c>
      <c r="P495" s="1"/>
    </row>
    <row r="496" spans="1:16" ht="12.75" x14ac:dyDescent="0.2">
      <c r="A496" s="121"/>
      <c r="B496" s="121"/>
      <c r="C496" s="121"/>
      <c r="D496" s="121"/>
      <c r="E496" s="121" t="s">
        <v>307</v>
      </c>
      <c r="F496" s="121"/>
      <c r="G496" s="122">
        <v>45489</v>
      </c>
      <c r="H496" s="121"/>
      <c r="I496" s="121" t="s">
        <v>1013</v>
      </c>
      <c r="J496" s="121"/>
      <c r="K496" s="121" t="s">
        <v>413</v>
      </c>
      <c r="L496" s="121"/>
      <c r="M496" s="121" t="s">
        <v>941</v>
      </c>
      <c r="N496" s="121"/>
      <c r="O496" s="112">
        <v>9166.67</v>
      </c>
      <c r="P496" s="1"/>
    </row>
    <row r="497" spans="1:16" ht="12.75" x14ac:dyDescent="0.2">
      <c r="A497" s="121"/>
      <c r="B497" s="121"/>
      <c r="C497" s="121"/>
      <c r="D497" s="121"/>
      <c r="E497" s="121" t="s">
        <v>307</v>
      </c>
      <c r="F497" s="121"/>
      <c r="G497" s="122">
        <v>45517</v>
      </c>
      <c r="H497" s="121"/>
      <c r="I497" s="121" t="s">
        <v>1183</v>
      </c>
      <c r="J497" s="121"/>
      <c r="K497" s="121" t="s">
        <v>413</v>
      </c>
      <c r="L497" s="121"/>
      <c r="M497" s="121" t="s">
        <v>1184</v>
      </c>
      <c r="N497" s="121"/>
      <c r="O497" s="112">
        <v>10400</v>
      </c>
      <c r="P497" s="1"/>
    </row>
    <row r="498" spans="1:16" ht="12.75" x14ac:dyDescent="0.2">
      <c r="A498" s="121"/>
      <c r="B498" s="121"/>
      <c r="C498" s="121"/>
      <c r="D498" s="121"/>
      <c r="E498" s="121" t="s">
        <v>307</v>
      </c>
      <c r="F498" s="121"/>
      <c r="G498" s="122">
        <v>45517</v>
      </c>
      <c r="H498" s="121"/>
      <c r="I498" s="121" t="s">
        <v>1185</v>
      </c>
      <c r="J498" s="121"/>
      <c r="K498" s="121" t="s">
        <v>413</v>
      </c>
      <c r="L498" s="121"/>
      <c r="M498" s="121" t="s">
        <v>1186</v>
      </c>
      <c r="N498" s="121"/>
      <c r="O498" s="112">
        <v>12500</v>
      </c>
      <c r="P498" s="1"/>
    </row>
    <row r="499" spans="1:16" ht="12.75" x14ac:dyDescent="0.2">
      <c r="A499" s="121"/>
      <c r="B499" s="121"/>
      <c r="C499" s="121"/>
      <c r="D499" s="121"/>
      <c r="E499" s="121" t="s">
        <v>307</v>
      </c>
      <c r="F499" s="121"/>
      <c r="G499" s="122">
        <v>45313</v>
      </c>
      <c r="H499" s="121"/>
      <c r="I499" s="121" t="s">
        <v>821</v>
      </c>
      <c r="J499" s="121"/>
      <c r="K499" s="121" t="s">
        <v>416</v>
      </c>
      <c r="L499" s="121"/>
      <c r="M499" s="121" t="s">
        <v>462</v>
      </c>
      <c r="N499" s="121"/>
      <c r="O499" s="112">
        <v>833.34</v>
      </c>
      <c r="P499" s="1"/>
    </row>
    <row r="500" spans="1:16" ht="12.75" x14ac:dyDescent="0.2">
      <c r="A500" s="121"/>
      <c r="B500" s="121"/>
      <c r="C500" s="121"/>
      <c r="D500" s="121"/>
      <c r="E500" s="121" t="s">
        <v>307</v>
      </c>
      <c r="F500" s="121"/>
      <c r="G500" s="122">
        <v>45362</v>
      </c>
      <c r="H500" s="121"/>
      <c r="I500" s="121" t="s">
        <v>822</v>
      </c>
      <c r="J500" s="121"/>
      <c r="K500" s="121" t="s">
        <v>416</v>
      </c>
      <c r="L500" s="121"/>
      <c r="M500" s="121" t="s">
        <v>420</v>
      </c>
      <c r="N500" s="121"/>
      <c r="O500" s="112">
        <v>416.67</v>
      </c>
      <c r="P500" s="1"/>
    </row>
    <row r="501" spans="1:16" ht="12.75" x14ac:dyDescent="0.2">
      <c r="A501" s="121"/>
      <c r="B501" s="121"/>
      <c r="C501" s="121"/>
      <c r="D501" s="121"/>
      <c r="E501" s="121" t="s">
        <v>307</v>
      </c>
      <c r="F501" s="121"/>
      <c r="G501" s="122">
        <v>45363</v>
      </c>
      <c r="H501" s="121"/>
      <c r="I501" s="121" t="s">
        <v>823</v>
      </c>
      <c r="J501" s="121"/>
      <c r="K501" s="121" t="s">
        <v>416</v>
      </c>
      <c r="L501" s="121"/>
      <c r="M501" s="121" t="s">
        <v>464</v>
      </c>
      <c r="N501" s="121"/>
      <c r="O501" s="112">
        <v>833.34</v>
      </c>
      <c r="P501" s="1"/>
    </row>
    <row r="502" spans="1:16" ht="12.75" x14ac:dyDescent="0.2">
      <c r="A502" s="121"/>
      <c r="B502" s="121"/>
      <c r="C502" s="121"/>
      <c r="D502" s="121"/>
      <c r="E502" s="121" t="s">
        <v>1210</v>
      </c>
      <c r="F502" s="121"/>
      <c r="G502" s="122">
        <v>45382</v>
      </c>
      <c r="H502" s="121"/>
      <c r="I502" s="121" t="s">
        <v>824</v>
      </c>
      <c r="J502" s="121"/>
      <c r="K502" s="121" t="s">
        <v>416</v>
      </c>
      <c r="L502" s="121"/>
      <c r="M502" s="121" t="s">
        <v>825</v>
      </c>
      <c r="N502" s="121"/>
      <c r="O502" s="112">
        <v>-416.67</v>
      </c>
      <c r="P502" s="1"/>
    </row>
    <row r="503" spans="1:16" ht="12.75" x14ac:dyDescent="0.2">
      <c r="A503" s="121"/>
      <c r="B503" s="121"/>
      <c r="C503" s="121"/>
      <c r="D503" s="121"/>
      <c r="E503" s="121" t="s">
        <v>307</v>
      </c>
      <c r="F503" s="121"/>
      <c r="G503" s="122">
        <v>45330</v>
      </c>
      <c r="H503" s="121"/>
      <c r="I503" s="121" t="s">
        <v>826</v>
      </c>
      <c r="J503" s="121"/>
      <c r="K503" s="121" t="s">
        <v>416</v>
      </c>
      <c r="L503" s="121"/>
      <c r="M503" s="121" t="s">
        <v>462</v>
      </c>
      <c r="N503" s="121"/>
      <c r="O503" s="112">
        <v>833.34</v>
      </c>
      <c r="P503" s="1"/>
    </row>
    <row r="504" spans="1:16" ht="12.75" x14ac:dyDescent="0.2">
      <c r="A504" s="121"/>
      <c r="B504" s="121"/>
      <c r="C504" s="121"/>
      <c r="D504" s="121"/>
      <c r="E504" s="121" t="s">
        <v>307</v>
      </c>
      <c r="F504" s="121"/>
      <c r="G504" s="122">
        <v>45391</v>
      </c>
      <c r="H504" s="121"/>
      <c r="I504" s="121" t="s">
        <v>827</v>
      </c>
      <c r="J504" s="121"/>
      <c r="K504" s="121" t="s">
        <v>416</v>
      </c>
      <c r="L504" s="121"/>
      <c r="M504" s="121" t="s">
        <v>420</v>
      </c>
      <c r="N504" s="121"/>
      <c r="O504" s="112">
        <v>833.34</v>
      </c>
      <c r="P504" s="1"/>
    </row>
    <row r="505" spans="1:16" ht="12.75" x14ac:dyDescent="0.2">
      <c r="A505" s="121"/>
      <c r="B505" s="121"/>
      <c r="C505" s="121"/>
      <c r="D505" s="121"/>
      <c r="E505" s="121" t="s">
        <v>307</v>
      </c>
      <c r="F505" s="121"/>
      <c r="G505" s="122">
        <v>45418</v>
      </c>
      <c r="H505" s="121"/>
      <c r="I505" s="121" t="s">
        <v>828</v>
      </c>
      <c r="J505" s="121"/>
      <c r="K505" s="121" t="s">
        <v>416</v>
      </c>
      <c r="L505" s="121"/>
      <c r="M505" s="121" t="s">
        <v>322</v>
      </c>
      <c r="N505" s="121"/>
      <c r="O505" s="112">
        <v>833.34</v>
      </c>
      <c r="P505" s="1"/>
    </row>
    <row r="506" spans="1:16" ht="12.75" x14ac:dyDescent="0.2">
      <c r="A506" s="121"/>
      <c r="B506" s="121"/>
      <c r="C506" s="121"/>
      <c r="D506" s="121"/>
      <c r="E506" s="121" t="s">
        <v>307</v>
      </c>
      <c r="F506" s="121"/>
      <c r="G506" s="122">
        <v>45450</v>
      </c>
      <c r="H506" s="121"/>
      <c r="I506" s="121" t="s">
        <v>415</v>
      </c>
      <c r="J506" s="121"/>
      <c r="K506" s="121" t="s">
        <v>416</v>
      </c>
      <c r="L506" s="121"/>
      <c r="M506" s="121" t="s">
        <v>311</v>
      </c>
      <c r="N506" s="121"/>
      <c r="O506" s="112">
        <v>833.34</v>
      </c>
      <c r="P506" s="1"/>
    </row>
    <row r="507" spans="1:16" ht="12.75" x14ac:dyDescent="0.2">
      <c r="A507" s="121"/>
      <c r="B507" s="121"/>
      <c r="C507" s="121"/>
      <c r="D507" s="121"/>
      <c r="E507" s="121" t="s">
        <v>307</v>
      </c>
      <c r="F507" s="121"/>
      <c r="G507" s="122">
        <v>45482</v>
      </c>
      <c r="H507" s="121"/>
      <c r="I507" s="121" t="s">
        <v>1014</v>
      </c>
      <c r="J507" s="121"/>
      <c r="K507" s="121" t="s">
        <v>416</v>
      </c>
      <c r="L507" s="121"/>
      <c r="M507" s="121" t="s">
        <v>314</v>
      </c>
      <c r="N507" s="121"/>
      <c r="O507" s="112">
        <v>833.34</v>
      </c>
      <c r="P507" s="1"/>
    </row>
    <row r="508" spans="1:16" ht="12.75" x14ac:dyDescent="0.2">
      <c r="A508" s="121"/>
      <c r="B508" s="121"/>
      <c r="C508" s="121"/>
      <c r="D508" s="121"/>
      <c r="E508" s="121" t="s">
        <v>307</v>
      </c>
      <c r="F508" s="121"/>
      <c r="G508" s="122">
        <v>45512</v>
      </c>
      <c r="H508" s="121"/>
      <c r="I508" s="121" t="s">
        <v>1187</v>
      </c>
      <c r="J508" s="121"/>
      <c r="K508" s="121" t="s">
        <v>416</v>
      </c>
      <c r="L508" s="121"/>
      <c r="M508" s="121" t="s">
        <v>941</v>
      </c>
      <c r="N508" s="121"/>
      <c r="O508" s="112">
        <v>833.34</v>
      </c>
      <c r="P508" s="1"/>
    </row>
    <row r="509" spans="1:16" ht="12.75" x14ac:dyDescent="0.2">
      <c r="A509" s="121"/>
      <c r="B509" s="121"/>
      <c r="C509" s="121"/>
      <c r="D509" s="121"/>
      <c r="E509" s="121" t="s">
        <v>307</v>
      </c>
      <c r="F509" s="121"/>
      <c r="G509" s="122">
        <v>45303</v>
      </c>
      <c r="H509" s="121"/>
      <c r="I509" s="121" t="s">
        <v>829</v>
      </c>
      <c r="J509" s="121"/>
      <c r="K509" s="121" t="s">
        <v>418</v>
      </c>
      <c r="L509" s="121"/>
      <c r="M509" s="121" t="s">
        <v>462</v>
      </c>
      <c r="N509" s="121"/>
      <c r="O509" s="112">
        <v>2916.67</v>
      </c>
      <c r="P509" s="1"/>
    </row>
    <row r="510" spans="1:16" ht="12.75" x14ac:dyDescent="0.2">
      <c r="A510" s="121"/>
      <c r="B510" s="121"/>
      <c r="C510" s="121"/>
      <c r="D510" s="121"/>
      <c r="E510" s="121" t="s">
        <v>307</v>
      </c>
      <c r="F510" s="121"/>
      <c r="G510" s="122">
        <v>45337</v>
      </c>
      <c r="H510" s="121"/>
      <c r="I510" s="121" t="s">
        <v>830</v>
      </c>
      <c r="J510" s="121"/>
      <c r="K510" s="121" t="s">
        <v>418</v>
      </c>
      <c r="L510" s="121"/>
      <c r="M510" s="121" t="s">
        <v>464</v>
      </c>
      <c r="N510" s="121"/>
      <c r="O510" s="112">
        <v>3249.99</v>
      </c>
      <c r="P510" s="1"/>
    </row>
    <row r="511" spans="1:16" ht="12.75" x14ac:dyDescent="0.2">
      <c r="A511" s="121"/>
      <c r="B511" s="121"/>
      <c r="C511" s="121"/>
      <c r="D511" s="121"/>
      <c r="E511" s="121" t="s">
        <v>307</v>
      </c>
      <c r="F511" s="121"/>
      <c r="G511" s="122">
        <v>45366</v>
      </c>
      <c r="H511" s="121"/>
      <c r="I511" s="121" t="s">
        <v>831</v>
      </c>
      <c r="J511" s="121"/>
      <c r="K511" s="121" t="s">
        <v>418</v>
      </c>
      <c r="L511" s="121"/>
      <c r="M511" s="121" t="s">
        <v>420</v>
      </c>
      <c r="N511" s="121"/>
      <c r="O511" s="112">
        <v>3083.33</v>
      </c>
      <c r="P511" s="1"/>
    </row>
    <row r="512" spans="1:16" ht="12.75" x14ac:dyDescent="0.2">
      <c r="A512" s="121"/>
      <c r="B512" s="121"/>
      <c r="C512" s="121"/>
      <c r="D512" s="121"/>
      <c r="E512" s="121" t="s">
        <v>307</v>
      </c>
      <c r="F512" s="121"/>
      <c r="G512" s="122">
        <v>45397</v>
      </c>
      <c r="H512" s="121"/>
      <c r="I512" s="121" t="s">
        <v>832</v>
      </c>
      <c r="J512" s="121"/>
      <c r="K512" s="121" t="s">
        <v>418</v>
      </c>
      <c r="L512" s="121"/>
      <c r="M512" s="121" t="s">
        <v>322</v>
      </c>
      <c r="N512" s="121"/>
      <c r="O512" s="112">
        <v>3083.33</v>
      </c>
      <c r="P512" s="1"/>
    </row>
    <row r="513" spans="1:16" ht="12.75" x14ac:dyDescent="0.2">
      <c r="A513" s="121"/>
      <c r="B513" s="121"/>
      <c r="C513" s="121"/>
      <c r="D513" s="121"/>
      <c r="E513" s="121" t="s">
        <v>307</v>
      </c>
      <c r="F513" s="121"/>
      <c r="G513" s="122">
        <v>45427</v>
      </c>
      <c r="H513" s="121"/>
      <c r="I513" s="121" t="s">
        <v>833</v>
      </c>
      <c r="J513" s="121"/>
      <c r="K513" s="121" t="s">
        <v>418</v>
      </c>
      <c r="L513" s="121"/>
      <c r="M513" s="121" t="s">
        <v>311</v>
      </c>
      <c r="N513" s="121"/>
      <c r="O513" s="112">
        <v>3083.33</v>
      </c>
      <c r="P513" s="1"/>
    </row>
    <row r="514" spans="1:16" ht="12.75" x14ac:dyDescent="0.2">
      <c r="A514" s="121"/>
      <c r="B514" s="121"/>
      <c r="C514" s="121"/>
      <c r="D514" s="121"/>
      <c r="E514" s="121" t="s">
        <v>307</v>
      </c>
      <c r="F514" s="121"/>
      <c r="G514" s="122">
        <v>45458</v>
      </c>
      <c r="H514" s="121"/>
      <c r="I514" s="121" t="s">
        <v>417</v>
      </c>
      <c r="J514" s="121"/>
      <c r="K514" s="121" t="s">
        <v>418</v>
      </c>
      <c r="L514" s="121"/>
      <c r="M514" s="121" t="s">
        <v>314</v>
      </c>
      <c r="N514" s="121"/>
      <c r="O514" s="112">
        <v>3083.33</v>
      </c>
      <c r="P514" s="1"/>
    </row>
    <row r="515" spans="1:16" ht="12.75" x14ac:dyDescent="0.2">
      <c r="A515" s="121"/>
      <c r="B515" s="121"/>
      <c r="C515" s="121"/>
      <c r="D515" s="121"/>
      <c r="E515" s="121" t="s">
        <v>307</v>
      </c>
      <c r="F515" s="121"/>
      <c r="G515" s="122">
        <v>45488</v>
      </c>
      <c r="H515" s="121"/>
      <c r="I515" s="121" t="s">
        <v>1015</v>
      </c>
      <c r="J515" s="121"/>
      <c r="K515" s="121" t="s">
        <v>418</v>
      </c>
      <c r="L515" s="121"/>
      <c r="M515" s="121" t="s">
        <v>941</v>
      </c>
      <c r="N515" s="121"/>
      <c r="O515" s="112">
        <v>3083.33</v>
      </c>
      <c r="P515" s="1"/>
    </row>
    <row r="516" spans="1:16" ht="12.75" x14ac:dyDescent="0.2">
      <c r="A516" s="121"/>
      <c r="B516" s="121"/>
      <c r="C516" s="121"/>
      <c r="D516" s="121"/>
      <c r="E516" s="121" t="s">
        <v>307</v>
      </c>
      <c r="F516" s="121"/>
      <c r="G516" s="122">
        <v>45519</v>
      </c>
      <c r="H516" s="121"/>
      <c r="I516" s="121" t="s">
        <v>1188</v>
      </c>
      <c r="J516" s="121"/>
      <c r="K516" s="121" t="s">
        <v>418</v>
      </c>
      <c r="L516" s="121"/>
      <c r="M516" s="121" t="s">
        <v>970</v>
      </c>
      <c r="N516" s="121"/>
      <c r="O516" s="112">
        <v>3083.33</v>
      </c>
      <c r="P516" s="1"/>
    </row>
    <row r="517" spans="1:16" ht="12.75" x14ac:dyDescent="0.2">
      <c r="A517" s="121"/>
      <c r="B517" s="121"/>
      <c r="C517" s="121"/>
      <c r="D517" s="121"/>
      <c r="E517" s="121" t="s">
        <v>307</v>
      </c>
      <c r="F517" s="121"/>
      <c r="G517" s="122">
        <v>45384</v>
      </c>
      <c r="H517" s="121"/>
      <c r="I517" s="121" t="s">
        <v>834</v>
      </c>
      <c r="J517" s="121"/>
      <c r="K517" s="121" t="s">
        <v>157</v>
      </c>
      <c r="L517" s="121"/>
      <c r="M517" s="121" t="s">
        <v>462</v>
      </c>
      <c r="N517" s="121"/>
      <c r="O517" s="112">
        <v>450</v>
      </c>
      <c r="P517" s="1"/>
    </row>
    <row r="518" spans="1:16" ht="12.75" x14ac:dyDescent="0.2">
      <c r="A518" s="121"/>
      <c r="B518" s="121"/>
      <c r="C518" s="121"/>
      <c r="D518" s="121"/>
      <c r="E518" s="121" t="s">
        <v>307</v>
      </c>
      <c r="F518" s="121"/>
      <c r="G518" s="122">
        <v>45434</v>
      </c>
      <c r="H518" s="121"/>
      <c r="I518" s="121" t="s">
        <v>835</v>
      </c>
      <c r="J518" s="121"/>
      <c r="K518" s="121" t="s">
        <v>157</v>
      </c>
      <c r="L518" s="121"/>
      <c r="M518" s="121" t="s">
        <v>464</v>
      </c>
      <c r="N518" s="121"/>
      <c r="O518" s="112">
        <v>450</v>
      </c>
      <c r="P518" s="1"/>
    </row>
    <row r="519" spans="1:16" ht="12.75" x14ac:dyDescent="0.2">
      <c r="A519" s="121"/>
      <c r="B519" s="121"/>
      <c r="C519" s="121"/>
      <c r="D519" s="121"/>
      <c r="E519" s="121" t="s">
        <v>307</v>
      </c>
      <c r="F519" s="121"/>
      <c r="G519" s="122">
        <v>45447</v>
      </c>
      <c r="H519" s="121"/>
      <c r="I519" s="121" t="s">
        <v>419</v>
      </c>
      <c r="J519" s="121"/>
      <c r="K519" s="121" t="s">
        <v>157</v>
      </c>
      <c r="L519" s="121"/>
      <c r="M519" s="121" t="s">
        <v>420</v>
      </c>
      <c r="N519" s="121"/>
      <c r="O519" s="112">
        <v>450</v>
      </c>
      <c r="P519" s="1"/>
    </row>
    <row r="520" spans="1:16" ht="12.75" x14ac:dyDescent="0.2">
      <c r="A520" s="121"/>
      <c r="B520" s="121"/>
      <c r="C520" s="121"/>
      <c r="D520" s="121"/>
      <c r="E520" s="121" t="s">
        <v>307</v>
      </c>
      <c r="F520" s="121"/>
      <c r="G520" s="122">
        <v>45448</v>
      </c>
      <c r="H520" s="121"/>
      <c r="I520" s="121" t="s">
        <v>421</v>
      </c>
      <c r="J520" s="121"/>
      <c r="K520" s="121" t="s">
        <v>157</v>
      </c>
      <c r="L520" s="121"/>
      <c r="M520" s="121" t="s">
        <v>322</v>
      </c>
      <c r="N520" s="121"/>
      <c r="O520" s="112">
        <v>450</v>
      </c>
      <c r="P520" s="1"/>
    </row>
    <row r="521" spans="1:16" ht="12.75" x14ac:dyDescent="0.2">
      <c r="A521" s="121"/>
      <c r="B521" s="121"/>
      <c r="C521" s="121"/>
      <c r="D521" s="121"/>
      <c r="E521" s="121" t="s">
        <v>307</v>
      </c>
      <c r="F521" s="121"/>
      <c r="G521" s="122">
        <v>45457</v>
      </c>
      <c r="H521" s="121"/>
      <c r="I521" s="121" t="s">
        <v>422</v>
      </c>
      <c r="J521" s="121"/>
      <c r="K521" s="121" t="s">
        <v>157</v>
      </c>
      <c r="L521" s="121"/>
      <c r="M521" s="121" t="s">
        <v>311</v>
      </c>
      <c r="N521" s="121"/>
      <c r="O521" s="112">
        <v>450</v>
      </c>
      <c r="P521" s="1"/>
    </row>
    <row r="522" spans="1:16" ht="12.75" x14ac:dyDescent="0.2">
      <c r="A522" s="121"/>
      <c r="B522" s="121"/>
      <c r="C522" s="121"/>
      <c r="D522" s="121"/>
      <c r="E522" s="121" t="s">
        <v>307</v>
      </c>
      <c r="F522" s="121"/>
      <c r="G522" s="122">
        <v>45478</v>
      </c>
      <c r="H522" s="121"/>
      <c r="I522" s="121" t="s">
        <v>1016</v>
      </c>
      <c r="J522" s="121"/>
      <c r="K522" s="121" t="s">
        <v>157</v>
      </c>
      <c r="L522" s="121"/>
      <c r="M522" s="121" t="s">
        <v>314</v>
      </c>
      <c r="N522" s="121"/>
      <c r="O522" s="112">
        <v>450</v>
      </c>
      <c r="P522" s="1"/>
    </row>
    <row r="523" spans="1:16" ht="12.75" x14ac:dyDescent="0.2">
      <c r="A523" s="121"/>
      <c r="B523" s="121"/>
      <c r="C523" s="121"/>
      <c r="D523" s="121"/>
      <c r="E523" s="121" t="s">
        <v>307</v>
      </c>
      <c r="F523" s="121"/>
      <c r="G523" s="122">
        <v>45489</v>
      </c>
      <c r="H523" s="121"/>
      <c r="I523" s="121" t="s">
        <v>1017</v>
      </c>
      <c r="J523" s="121"/>
      <c r="K523" s="121" t="s">
        <v>157</v>
      </c>
      <c r="L523" s="121"/>
      <c r="M523" s="121" t="s">
        <v>941</v>
      </c>
      <c r="N523" s="121"/>
      <c r="O523" s="112">
        <v>450</v>
      </c>
      <c r="P523" s="1"/>
    </row>
    <row r="524" spans="1:16" ht="12.75" x14ac:dyDescent="0.2">
      <c r="A524" s="121"/>
      <c r="B524" s="121"/>
      <c r="C524" s="121"/>
      <c r="D524" s="121"/>
      <c r="E524" s="121" t="s">
        <v>307</v>
      </c>
      <c r="F524" s="121"/>
      <c r="G524" s="122">
        <v>45505</v>
      </c>
      <c r="H524" s="121"/>
      <c r="I524" s="121" t="s">
        <v>1189</v>
      </c>
      <c r="J524" s="121"/>
      <c r="K524" s="121" t="s">
        <v>157</v>
      </c>
      <c r="L524" s="121"/>
      <c r="M524" s="121" t="s">
        <v>970</v>
      </c>
      <c r="N524" s="121"/>
      <c r="O524" s="112">
        <v>450</v>
      </c>
      <c r="P524" s="1"/>
    </row>
    <row r="525" spans="1:16" ht="12.75" x14ac:dyDescent="0.2">
      <c r="A525" s="121"/>
      <c r="B525" s="121"/>
      <c r="C525" s="121"/>
      <c r="D525" s="121"/>
      <c r="E525" s="121" t="s">
        <v>307</v>
      </c>
      <c r="F525" s="121"/>
      <c r="G525" s="122">
        <v>45303</v>
      </c>
      <c r="H525" s="121"/>
      <c r="I525" s="121" t="s">
        <v>836</v>
      </c>
      <c r="J525" s="121"/>
      <c r="K525" s="121" t="s">
        <v>287</v>
      </c>
      <c r="L525" s="121"/>
      <c r="M525" s="121" t="s">
        <v>462</v>
      </c>
      <c r="N525" s="121"/>
      <c r="O525" s="112">
        <v>500</v>
      </c>
      <c r="P525" s="1"/>
    </row>
    <row r="526" spans="1:16" ht="12.75" x14ac:dyDescent="0.2">
      <c r="A526" s="121"/>
      <c r="B526" s="121"/>
      <c r="C526" s="121"/>
      <c r="D526" s="121"/>
      <c r="E526" s="121" t="s">
        <v>307</v>
      </c>
      <c r="F526" s="121"/>
      <c r="G526" s="122">
        <v>45337</v>
      </c>
      <c r="H526" s="121"/>
      <c r="I526" s="121" t="s">
        <v>837</v>
      </c>
      <c r="J526" s="121"/>
      <c r="K526" s="121" t="s">
        <v>287</v>
      </c>
      <c r="L526" s="121"/>
      <c r="M526" s="121" t="s">
        <v>464</v>
      </c>
      <c r="N526" s="121"/>
      <c r="O526" s="112">
        <v>500</v>
      </c>
      <c r="P526" s="1"/>
    </row>
    <row r="527" spans="1:16" ht="12.75" x14ac:dyDescent="0.2">
      <c r="A527" s="121"/>
      <c r="B527" s="121"/>
      <c r="C527" s="121"/>
      <c r="D527" s="121"/>
      <c r="E527" s="121" t="s">
        <v>307</v>
      </c>
      <c r="F527" s="121"/>
      <c r="G527" s="122">
        <v>45366</v>
      </c>
      <c r="H527" s="121"/>
      <c r="I527" s="121" t="s">
        <v>838</v>
      </c>
      <c r="J527" s="121"/>
      <c r="K527" s="121" t="s">
        <v>287</v>
      </c>
      <c r="L527" s="121"/>
      <c r="M527" s="121" t="s">
        <v>420</v>
      </c>
      <c r="N527" s="121"/>
      <c r="O527" s="112">
        <v>500</v>
      </c>
      <c r="P527" s="1"/>
    </row>
    <row r="528" spans="1:16" ht="12.75" x14ac:dyDescent="0.2">
      <c r="A528" s="121"/>
      <c r="B528" s="121"/>
      <c r="C528" s="121"/>
      <c r="D528" s="121"/>
      <c r="E528" s="121" t="s">
        <v>307</v>
      </c>
      <c r="F528" s="121"/>
      <c r="G528" s="122">
        <v>45397</v>
      </c>
      <c r="H528" s="121"/>
      <c r="I528" s="121" t="s">
        <v>839</v>
      </c>
      <c r="J528" s="121"/>
      <c r="K528" s="121" t="s">
        <v>287</v>
      </c>
      <c r="L528" s="121"/>
      <c r="M528" s="121" t="s">
        <v>322</v>
      </c>
      <c r="N528" s="121"/>
      <c r="O528" s="112">
        <v>500</v>
      </c>
      <c r="P528" s="1"/>
    </row>
    <row r="529" spans="1:16" ht="12.75" x14ac:dyDescent="0.2">
      <c r="A529" s="121"/>
      <c r="B529" s="121"/>
      <c r="C529" s="121"/>
      <c r="D529" s="121"/>
      <c r="E529" s="121" t="s">
        <v>307</v>
      </c>
      <c r="F529" s="121"/>
      <c r="G529" s="122">
        <v>45427</v>
      </c>
      <c r="H529" s="121"/>
      <c r="I529" s="121" t="s">
        <v>840</v>
      </c>
      <c r="J529" s="121"/>
      <c r="K529" s="121" t="s">
        <v>287</v>
      </c>
      <c r="L529" s="121"/>
      <c r="M529" s="121" t="s">
        <v>311</v>
      </c>
      <c r="N529" s="121"/>
      <c r="O529" s="112">
        <v>500</v>
      </c>
      <c r="P529" s="1"/>
    </row>
    <row r="530" spans="1:16" ht="12.75" x14ac:dyDescent="0.2">
      <c r="A530" s="121"/>
      <c r="B530" s="121"/>
      <c r="C530" s="121"/>
      <c r="D530" s="121"/>
      <c r="E530" s="121" t="s">
        <v>307</v>
      </c>
      <c r="F530" s="121"/>
      <c r="G530" s="122">
        <v>45458</v>
      </c>
      <c r="H530" s="121"/>
      <c r="I530" s="121" t="s">
        <v>423</v>
      </c>
      <c r="J530" s="121"/>
      <c r="K530" s="121" t="s">
        <v>287</v>
      </c>
      <c r="L530" s="121"/>
      <c r="M530" s="121" t="s">
        <v>314</v>
      </c>
      <c r="N530" s="121"/>
      <c r="O530" s="112">
        <v>500</v>
      </c>
      <c r="P530" s="1"/>
    </row>
    <row r="531" spans="1:16" ht="12.75" x14ac:dyDescent="0.2">
      <c r="A531" s="121"/>
      <c r="B531" s="121"/>
      <c r="C531" s="121"/>
      <c r="D531" s="121"/>
      <c r="E531" s="121" t="s">
        <v>307</v>
      </c>
      <c r="F531" s="121"/>
      <c r="G531" s="122">
        <v>45488</v>
      </c>
      <c r="H531" s="121"/>
      <c r="I531" s="121" t="s">
        <v>1018</v>
      </c>
      <c r="J531" s="121"/>
      <c r="K531" s="121" t="s">
        <v>287</v>
      </c>
      <c r="L531" s="121"/>
      <c r="M531" s="121" t="s">
        <v>941</v>
      </c>
      <c r="N531" s="121"/>
      <c r="O531" s="112">
        <v>500</v>
      </c>
      <c r="P531" s="1"/>
    </row>
    <row r="532" spans="1:16" ht="12.75" x14ac:dyDescent="0.2">
      <c r="A532" s="121"/>
      <c r="B532" s="121"/>
      <c r="C532" s="121"/>
      <c r="D532" s="121"/>
      <c r="E532" s="121" t="s">
        <v>307</v>
      </c>
      <c r="F532" s="121"/>
      <c r="G532" s="122">
        <v>45519</v>
      </c>
      <c r="H532" s="121"/>
      <c r="I532" s="121" t="s">
        <v>1190</v>
      </c>
      <c r="J532" s="121"/>
      <c r="K532" s="121" t="s">
        <v>287</v>
      </c>
      <c r="L532" s="121"/>
      <c r="M532" s="121" t="s">
        <v>970</v>
      </c>
      <c r="N532" s="121"/>
      <c r="O532" s="112">
        <v>500</v>
      </c>
      <c r="P532" s="1"/>
    </row>
    <row r="533" spans="1:16" ht="12.75" x14ac:dyDescent="0.2">
      <c r="A533" s="121"/>
      <c r="B533" s="121"/>
      <c r="C533" s="121"/>
      <c r="D533" s="121"/>
      <c r="E533" s="121" t="s">
        <v>307</v>
      </c>
      <c r="F533" s="121"/>
      <c r="G533" s="122">
        <v>45323</v>
      </c>
      <c r="H533" s="121"/>
      <c r="I533" s="121" t="s">
        <v>841</v>
      </c>
      <c r="J533" s="121"/>
      <c r="K533" s="121" t="s">
        <v>425</v>
      </c>
      <c r="L533" s="121"/>
      <c r="M533" s="121" t="s">
        <v>462</v>
      </c>
      <c r="N533" s="121"/>
      <c r="O533" s="112">
        <v>2666.67</v>
      </c>
      <c r="P533" s="1"/>
    </row>
    <row r="534" spans="1:16" ht="12.75" x14ac:dyDescent="0.2">
      <c r="A534" s="121"/>
      <c r="B534" s="121"/>
      <c r="C534" s="121"/>
      <c r="D534" s="121"/>
      <c r="E534" s="121" t="s">
        <v>307</v>
      </c>
      <c r="F534" s="121"/>
      <c r="G534" s="122">
        <v>45357</v>
      </c>
      <c r="H534" s="121"/>
      <c r="I534" s="121" t="s">
        <v>842</v>
      </c>
      <c r="J534" s="121"/>
      <c r="K534" s="121" t="s">
        <v>425</v>
      </c>
      <c r="L534" s="121"/>
      <c r="M534" s="121" t="s">
        <v>464</v>
      </c>
      <c r="N534" s="121"/>
      <c r="O534" s="112">
        <v>2666.67</v>
      </c>
      <c r="P534" s="1"/>
    </row>
    <row r="535" spans="1:16" ht="12.75" x14ac:dyDescent="0.2">
      <c r="A535" s="121"/>
      <c r="B535" s="121"/>
      <c r="C535" s="121"/>
      <c r="D535" s="121"/>
      <c r="E535" s="121" t="s">
        <v>307</v>
      </c>
      <c r="F535" s="121"/>
      <c r="G535" s="122">
        <v>45391</v>
      </c>
      <c r="H535" s="121"/>
      <c r="I535" s="121" t="s">
        <v>843</v>
      </c>
      <c r="J535" s="121"/>
      <c r="K535" s="121" t="s">
        <v>425</v>
      </c>
      <c r="L535" s="121"/>
      <c r="M535" s="121" t="s">
        <v>420</v>
      </c>
      <c r="N535" s="121"/>
      <c r="O535" s="112">
        <v>2666.67</v>
      </c>
      <c r="P535" s="1"/>
    </row>
    <row r="536" spans="1:16" ht="12.75" x14ac:dyDescent="0.2">
      <c r="A536" s="121"/>
      <c r="B536" s="121"/>
      <c r="C536" s="121"/>
      <c r="D536" s="121"/>
      <c r="E536" s="121" t="s">
        <v>307</v>
      </c>
      <c r="F536" s="121"/>
      <c r="G536" s="122">
        <v>45418</v>
      </c>
      <c r="H536" s="121"/>
      <c r="I536" s="121" t="s">
        <v>844</v>
      </c>
      <c r="J536" s="121"/>
      <c r="K536" s="121" t="s">
        <v>425</v>
      </c>
      <c r="L536" s="121"/>
      <c r="M536" s="121" t="s">
        <v>322</v>
      </c>
      <c r="N536" s="121"/>
      <c r="O536" s="112">
        <v>2666.67</v>
      </c>
      <c r="P536" s="1"/>
    </row>
    <row r="537" spans="1:16" ht="12.75" x14ac:dyDescent="0.2">
      <c r="A537" s="121"/>
      <c r="B537" s="121"/>
      <c r="C537" s="121"/>
      <c r="D537" s="121"/>
      <c r="E537" s="121" t="s">
        <v>307</v>
      </c>
      <c r="F537" s="121"/>
      <c r="G537" s="122">
        <v>45447</v>
      </c>
      <c r="H537" s="121"/>
      <c r="I537" s="121" t="s">
        <v>424</v>
      </c>
      <c r="J537" s="121"/>
      <c r="K537" s="121" t="s">
        <v>425</v>
      </c>
      <c r="L537" s="121"/>
      <c r="M537" s="121" t="s">
        <v>311</v>
      </c>
      <c r="N537" s="121"/>
      <c r="O537" s="112">
        <v>2666.67</v>
      </c>
      <c r="P537" s="1"/>
    </row>
    <row r="538" spans="1:16" ht="12.75" x14ac:dyDescent="0.2">
      <c r="A538" s="121"/>
      <c r="B538" s="121"/>
      <c r="C538" s="121"/>
      <c r="D538" s="121"/>
      <c r="E538" s="121" t="s">
        <v>307</v>
      </c>
      <c r="F538" s="121"/>
      <c r="G538" s="122">
        <v>45478</v>
      </c>
      <c r="H538" s="121"/>
      <c r="I538" s="121" t="s">
        <v>1019</v>
      </c>
      <c r="J538" s="121"/>
      <c r="K538" s="121" t="s">
        <v>425</v>
      </c>
      <c r="L538" s="121"/>
      <c r="M538" s="121" t="s">
        <v>314</v>
      </c>
      <c r="N538" s="121"/>
      <c r="O538" s="112">
        <v>2666.67</v>
      </c>
      <c r="P538" s="1"/>
    </row>
    <row r="539" spans="1:16" ht="12.75" x14ac:dyDescent="0.2">
      <c r="A539" s="121"/>
      <c r="B539" s="121"/>
      <c r="C539" s="121"/>
      <c r="D539" s="121"/>
      <c r="E539" s="121" t="s">
        <v>307</v>
      </c>
      <c r="F539" s="121"/>
      <c r="G539" s="122">
        <v>45502</v>
      </c>
      <c r="H539" s="121"/>
      <c r="I539" s="121" t="s">
        <v>1020</v>
      </c>
      <c r="J539" s="121"/>
      <c r="K539" s="121" t="s">
        <v>425</v>
      </c>
      <c r="L539" s="121"/>
      <c r="M539" s="121" t="s">
        <v>941</v>
      </c>
      <c r="N539" s="121"/>
      <c r="O539" s="112">
        <v>2666.67</v>
      </c>
      <c r="P539" s="1"/>
    </row>
    <row r="540" spans="1:16" ht="12.75" x14ac:dyDescent="0.2">
      <c r="A540" s="121"/>
      <c r="B540" s="121"/>
      <c r="C540" s="121"/>
      <c r="D540" s="121"/>
      <c r="E540" s="121" t="s">
        <v>307</v>
      </c>
      <c r="F540" s="121"/>
      <c r="G540" s="122">
        <v>45293</v>
      </c>
      <c r="H540" s="121"/>
      <c r="I540" s="121" t="s">
        <v>845</v>
      </c>
      <c r="J540" s="121"/>
      <c r="K540" s="121" t="s">
        <v>427</v>
      </c>
      <c r="L540" s="121"/>
      <c r="M540" s="121" t="s">
        <v>462</v>
      </c>
      <c r="N540" s="121"/>
      <c r="O540" s="112">
        <v>210</v>
      </c>
      <c r="P540" s="1"/>
    </row>
    <row r="541" spans="1:16" ht="12.75" x14ac:dyDescent="0.2">
      <c r="A541" s="121"/>
      <c r="B541" s="121"/>
      <c r="C541" s="121"/>
      <c r="D541" s="121"/>
      <c r="E541" s="121" t="s">
        <v>307</v>
      </c>
      <c r="F541" s="121"/>
      <c r="G541" s="122">
        <v>45324</v>
      </c>
      <c r="H541" s="121"/>
      <c r="I541" s="121" t="s">
        <v>846</v>
      </c>
      <c r="J541" s="121"/>
      <c r="K541" s="121" t="s">
        <v>427</v>
      </c>
      <c r="L541" s="121"/>
      <c r="M541" s="121" t="s">
        <v>464</v>
      </c>
      <c r="N541" s="121"/>
      <c r="O541" s="112">
        <v>210</v>
      </c>
      <c r="P541" s="1"/>
    </row>
    <row r="542" spans="1:16" ht="12.75" x14ac:dyDescent="0.2">
      <c r="A542" s="121"/>
      <c r="B542" s="121"/>
      <c r="C542" s="121"/>
      <c r="D542" s="121"/>
      <c r="E542" s="121" t="s">
        <v>307</v>
      </c>
      <c r="F542" s="121"/>
      <c r="G542" s="122">
        <v>45352</v>
      </c>
      <c r="H542" s="121"/>
      <c r="I542" s="121" t="s">
        <v>847</v>
      </c>
      <c r="J542" s="121"/>
      <c r="K542" s="121" t="s">
        <v>427</v>
      </c>
      <c r="L542" s="121"/>
      <c r="M542" s="121" t="s">
        <v>420</v>
      </c>
      <c r="N542" s="121"/>
      <c r="O542" s="112">
        <v>210</v>
      </c>
      <c r="P542" s="1"/>
    </row>
    <row r="543" spans="1:16" ht="12.75" x14ac:dyDescent="0.2">
      <c r="A543" s="121"/>
      <c r="B543" s="121"/>
      <c r="C543" s="121"/>
      <c r="D543" s="121"/>
      <c r="E543" s="121" t="s">
        <v>307</v>
      </c>
      <c r="F543" s="121"/>
      <c r="G543" s="122">
        <v>45380</v>
      </c>
      <c r="H543" s="121"/>
      <c r="I543" s="121" t="s">
        <v>848</v>
      </c>
      <c r="J543" s="121"/>
      <c r="K543" s="121" t="s">
        <v>427</v>
      </c>
      <c r="L543" s="121"/>
      <c r="M543" s="121" t="s">
        <v>322</v>
      </c>
      <c r="N543" s="121"/>
      <c r="O543" s="112">
        <v>210</v>
      </c>
      <c r="P543" s="1"/>
    </row>
    <row r="544" spans="1:16" ht="12.75" x14ac:dyDescent="0.2">
      <c r="A544" s="121"/>
      <c r="B544" s="121"/>
      <c r="C544" s="121"/>
      <c r="D544" s="121"/>
      <c r="E544" s="121" t="s">
        <v>307</v>
      </c>
      <c r="F544" s="121"/>
      <c r="G544" s="122">
        <v>45418</v>
      </c>
      <c r="H544" s="121"/>
      <c r="I544" s="121" t="s">
        <v>849</v>
      </c>
      <c r="J544" s="121"/>
      <c r="K544" s="121" t="s">
        <v>427</v>
      </c>
      <c r="L544" s="121"/>
      <c r="M544" s="121" t="s">
        <v>311</v>
      </c>
      <c r="N544" s="121"/>
      <c r="O544" s="112">
        <v>210</v>
      </c>
      <c r="P544" s="1"/>
    </row>
    <row r="545" spans="1:16" ht="12.75" x14ac:dyDescent="0.2">
      <c r="A545" s="121"/>
      <c r="B545" s="121"/>
      <c r="C545" s="121"/>
      <c r="D545" s="121"/>
      <c r="E545" s="121" t="s">
        <v>307</v>
      </c>
      <c r="F545" s="121"/>
      <c r="G545" s="122">
        <v>45447</v>
      </c>
      <c r="H545" s="121"/>
      <c r="I545" s="121" t="s">
        <v>426</v>
      </c>
      <c r="J545" s="121"/>
      <c r="K545" s="121" t="s">
        <v>427</v>
      </c>
      <c r="L545" s="121"/>
      <c r="M545" s="121" t="s">
        <v>314</v>
      </c>
      <c r="N545" s="121"/>
      <c r="O545" s="112">
        <v>210</v>
      </c>
      <c r="P545" s="1"/>
    </row>
    <row r="546" spans="1:16" ht="12.75" x14ac:dyDescent="0.2">
      <c r="A546" s="121"/>
      <c r="B546" s="121"/>
      <c r="C546" s="121"/>
      <c r="D546" s="121"/>
      <c r="E546" s="121" t="s">
        <v>307</v>
      </c>
      <c r="F546" s="121"/>
      <c r="G546" s="122">
        <v>45474</v>
      </c>
      <c r="H546" s="121"/>
      <c r="I546" s="121" t="s">
        <v>1021</v>
      </c>
      <c r="J546" s="121"/>
      <c r="K546" s="121" t="s">
        <v>427</v>
      </c>
      <c r="L546" s="121"/>
      <c r="M546" s="121" t="s">
        <v>941</v>
      </c>
      <c r="N546" s="121"/>
      <c r="O546" s="112">
        <v>210</v>
      </c>
      <c r="P546" s="1"/>
    </row>
    <row r="547" spans="1:16" ht="12.75" x14ac:dyDescent="0.2">
      <c r="A547" s="121"/>
      <c r="B547" s="121"/>
      <c r="C547" s="121"/>
      <c r="D547" s="121"/>
      <c r="E547" s="121" t="s">
        <v>307</v>
      </c>
      <c r="F547" s="121"/>
      <c r="G547" s="122">
        <v>45504</v>
      </c>
      <c r="H547" s="121"/>
      <c r="I547" s="121" t="s">
        <v>1022</v>
      </c>
      <c r="J547" s="121"/>
      <c r="K547" s="121" t="s">
        <v>427</v>
      </c>
      <c r="L547" s="121"/>
      <c r="M547" s="121" t="s">
        <v>970</v>
      </c>
      <c r="N547" s="121"/>
      <c r="O547" s="112">
        <v>210</v>
      </c>
      <c r="P547" s="1"/>
    </row>
    <row r="548" spans="1:16" ht="12.75" x14ac:dyDescent="0.2">
      <c r="A548" s="121"/>
      <c r="B548" s="121"/>
      <c r="C548" s="121"/>
      <c r="D548" s="121"/>
      <c r="E548" s="121" t="s">
        <v>307</v>
      </c>
      <c r="F548" s="121"/>
      <c r="G548" s="122">
        <v>45329</v>
      </c>
      <c r="H548" s="121"/>
      <c r="I548" s="121" t="s">
        <v>850</v>
      </c>
      <c r="J548" s="121"/>
      <c r="K548" s="121" t="s">
        <v>223</v>
      </c>
      <c r="L548" s="121"/>
      <c r="M548" s="121" t="s">
        <v>462</v>
      </c>
      <c r="N548" s="121"/>
      <c r="O548" s="112">
        <v>500</v>
      </c>
      <c r="P548" s="1"/>
    </row>
    <row r="549" spans="1:16" ht="12.75" x14ac:dyDescent="0.2">
      <c r="A549" s="121"/>
      <c r="B549" s="121"/>
      <c r="C549" s="121"/>
      <c r="D549" s="121"/>
      <c r="E549" s="121" t="s">
        <v>307</v>
      </c>
      <c r="F549" s="121"/>
      <c r="G549" s="122">
        <v>45356</v>
      </c>
      <c r="H549" s="121"/>
      <c r="I549" s="121" t="s">
        <v>851</v>
      </c>
      <c r="J549" s="121"/>
      <c r="K549" s="121" t="s">
        <v>223</v>
      </c>
      <c r="L549" s="121"/>
      <c r="M549" s="121" t="s">
        <v>464</v>
      </c>
      <c r="N549" s="121"/>
      <c r="O549" s="112">
        <v>500</v>
      </c>
      <c r="P549" s="1"/>
    </row>
    <row r="550" spans="1:16" ht="12.75" x14ac:dyDescent="0.2">
      <c r="A550" s="121"/>
      <c r="B550" s="121"/>
      <c r="C550" s="121"/>
      <c r="D550" s="121"/>
      <c r="E550" s="121" t="s">
        <v>307</v>
      </c>
      <c r="F550" s="121"/>
      <c r="G550" s="122">
        <v>45386</v>
      </c>
      <c r="H550" s="121"/>
      <c r="I550" s="121" t="s">
        <v>852</v>
      </c>
      <c r="J550" s="121"/>
      <c r="K550" s="121" t="s">
        <v>223</v>
      </c>
      <c r="L550" s="121"/>
      <c r="M550" s="121" t="s">
        <v>420</v>
      </c>
      <c r="N550" s="121"/>
      <c r="O550" s="112">
        <v>500</v>
      </c>
      <c r="P550" s="1"/>
    </row>
    <row r="551" spans="1:16" ht="12.75" x14ac:dyDescent="0.2">
      <c r="A551" s="121"/>
      <c r="B551" s="121"/>
      <c r="C551" s="121"/>
      <c r="D551" s="121"/>
      <c r="E551" s="121" t="s">
        <v>307</v>
      </c>
      <c r="F551" s="121"/>
      <c r="G551" s="122">
        <v>45391</v>
      </c>
      <c r="H551" s="121"/>
      <c r="I551" s="121" t="s">
        <v>853</v>
      </c>
      <c r="J551" s="121"/>
      <c r="K551" s="121" t="s">
        <v>223</v>
      </c>
      <c r="L551" s="121"/>
      <c r="M551" s="121" t="s">
        <v>854</v>
      </c>
      <c r="N551" s="121"/>
      <c r="O551" s="112">
        <v>175</v>
      </c>
      <c r="P551" s="1"/>
    </row>
    <row r="552" spans="1:16" ht="12.75" x14ac:dyDescent="0.2">
      <c r="A552" s="121"/>
      <c r="B552" s="121"/>
      <c r="C552" s="121"/>
      <c r="D552" s="121"/>
      <c r="E552" s="121" t="s">
        <v>307</v>
      </c>
      <c r="F552" s="121"/>
      <c r="G552" s="122">
        <v>45418</v>
      </c>
      <c r="H552" s="121"/>
      <c r="I552" s="121" t="s">
        <v>855</v>
      </c>
      <c r="J552" s="121"/>
      <c r="K552" s="121" t="s">
        <v>223</v>
      </c>
      <c r="L552" s="121"/>
      <c r="M552" s="121" t="s">
        <v>322</v>
      </c>
      <c r="N552" s="121"/>
      <c r="O552" s="112">
        <v>500</v>
      </c>
      <c r="P552" s="1"/>
    </row>
    <row r="553" spans="1:16" ht="12.75" x14ac:dyDescent="0.2">
      <c r="A553" s="121"/>
      <c r="B553" s="121"/>
      <c r="C553" s="121"/>
      <c r="D553" s="121"/>
      <c r="E553" s="121" t="s">
        <v>307</v>
      </c>
      <c r="F553" s="121"/>
      <c r="G553" s="122">
        <v>45453</v>
      </c>
      <c r="H553" s="121"/>
      <c r="I553" s="121" t="s">
        <v>428</v>
      </c>
      <c r="J553" s="121"/>
      <c r="K553" s="121" t="s">
        <v>223</v>
      </c>
      <c r="L553" s="121"/>
      <c r="M553" s="121" t="s">
        <v>311</v>
      </c>
      <c r="N553" s="121"/>
      <c r="O553" s="112">
        <v>500</v>
      </c>
      <c r="P553" s="1"/>
    </row>
    <row r="554" spans="1:16" ht="12.75" x14ac:dyDescent="0.2">
      <c r="A554" s="121"/>
      <c r="B554" s="121"/>
      <c r="C554" s="121"/>
      <c r="D554" s="121"/>
      <c r="E554" s="121" t="s">
        <v>307</v>
      </c>
      <c r="F554" s="121"/>
      <c r="G554" s="122">
        <v>45482</v>
      </c>
      <c r="H554" s="121"/>
      <c r="I554" s="121" t="s">
        <v>1023</v>
      </c>
      <c r="J554" s="121"/>
      <c r="K554" s="121" t="s">
        <v>223</v>
      </c>
      <c r="L554" s="121"/>
      <c r="M554" s="121" t="s">
        <v>941</v>
      </c>
      <c r="N554" s="121"/>
      <c r="O554" s="112">
        <v>225</v>
      </c>
      <c r="P554" s="1"/>
    </row>
    <row r="555" spans="1:16" ht="12.75" x14ac:dyDescent="0.2">
      <c r="A555" s="121"/>
      <c r="B555" s="121"/>
      <c r="C555" s="121"/>
      <c r="D555" s="121"/>
      <c r="E555" s="121" t="s">
        <v>307</v>
      </c>
      <c r="F555" s="121"/>
      <c r="G555" s="122">
        <v>45303</v>
      </c>
      <c r="H555" s="121"/>
      <c r="I555" s="121" t="s">
        <v>856</v>
      </c>
      <c r="J555" s="121"/>
      <c r="K555" s="121" t="s">
        <v>430</v>
      </c>
      <c r="L555" s="121"/>
      <c r="M555" s="121" t="s">
        <v>462</v>
      </c>
      <c r="N555" s="121"/>
      <c r="O555" s="112">
        <v>833.33</v>
      </c>
      <c r="P555" s="1"/>
    </row>
    <row r="556" spans="1:16" ht="12.75" x14ac:dyDescent="0.2">
      <c r="A556" s="121"/>
      <c r="B556" s="121"/>
      <c r="C556" s="121"/>
      <c r="D556" s="121"/>
      <c r="E556" s="121" t="s">
        <v>307</v>
      </c>
      <c r="F556" s="121"/>
      <c r="G556" s="122">
        <v>45337</v>
      </c>
      <c r="H556" s="121"/>
      <c r="I556" s="121" t="s">
        <v>857</v>
      </c>
      <c r="J556" s="121"/>
      <c r="K556" s="121" t="s">
        <v>430</v>
      </c>
      <c r="L556" s="121"/>
      <c r="M556" s="121" t="s">
        <v>464</v>
      </c>
      <c r="N556" s="121"/>
      <c r="O556" s="112">
        <v>916.67</v>
      </c>
      <c r="P556" s="1"/>
    </row>
    <row r="557" spans="1:16" ht="12.75" x14ac:dyDescent="0.2">
      <c r="A557" s="121"/>
      <c r="B557" s="121"/>
      <c r="C557" s="121"/>
      <c r="D557" s="121"/>
      <c r="E557" s="121" t="s">
        <v>307</v>
      </c>
      <c r="F557" s="121"/>
      <c r="G557" s="122">
        <v>45366</v>
      </c>
      <c r="H557" s="121"/>
      <c r="I557" s="121" t="s">
        <v>858</v>
      </c>
      <c r="J557" s="121"/>
      <c r="K557" s="121" t="s">
        <v>430</v>
      </c>
      <c r="L557" s="121"/>
      <c r="M557" s="121" t="s">
        <v>420</v>
      </c>
      <c r="N557" s="121"/>
      <c r="O557" s="112">
        <v>875</v>
      </c>
      <c r="P557" s="1"/>
    </row>
    <row r="558" spans="1:16" ht="12.75" x14ac:dyDescent="0.2">
      <c r="A558" s="121"/>
      <c r="B558" s="121"/>
      <c r="C558" s="121"/>
      <c r="D558" s="121"/>
      <c r="E558" s="121" t="s">
        <v>307</v>
      </c>
      <c r="F558" s="121"/>
      <c r="G558" s="122">
        <v>45397</v>
      </c>
      <c r="H558" s="121"/>
      <c r="I558" s="121" t="s">
        <v>859</v>
      </c>
      <c r="J558" s="121"/>
      <c r="K558" s="121" t="s">
        <v>430</v>
      </c>
      <c r="L558" s="121"/>
      <c r="M558" s="121" t="s">
        <v>322</v>
      </c>
      <c r="N558" s="121"/>
      <c r="O558" s="112">
        <v>875</v>
      </c>
      <c r="P558" s="1"/>
    </row>
    <row r="559" spans="1:16" ht="12.75" x14ac:dyDescent="0.2">
      <c r="A559" s="121"/>
      <c r="B559" s="121"/>
      <c r="C559" s="121"/>
      <c r="D559" s="121"/>
      <c r="E559" s="121" t="s">
        <v>307</v>
      </c>
      <c r="F559" s="121"/>
      <c r="G559" s="122">
        <v>45427</v>
      </c>
      <c r="H559" s="121"/>
      <c r="I559" s="121" t="s">
        <v>860</v>
      </c>
      <c r="J559" s="121"/>
      <c r="K559" s="121" t="s">
        <v>430</v>
      </c>
      <c r="L559" s="121"/>
      <c r="M559" s="121" t="s">
        <v>311</v>
      </c>
      <c r="N559" s="121"/>
      <c r="O559" s="112">
        <v>875</v>
      </c>
      <c r="P559" s="1"/>
    </row>
    <row r="560" spans="1:16" ht="12.75" x14ac:dyDescent="0.2">
      <c r="A560" s="121"/>
      <c r="B560" s="121"/>
      <c r="C560" s="121"/>
      <c r="D560" s="121"/>
      <c r="E560" s="121" t="s">
        <v>307</v>
      </c>
      <c r="F560" s="121"/>
      <c r="G560" s="122">
        <v>45458</v>
      </c>
      <c r="H560" s="121"/>
      <c r="I560" s="121" t="s">
        <v>429</v>
      </c>
      <c r="J560" s="121"/>
      <c r="K560" s="121" t="s">
        <v>430</v>
      </c>
      <c r="L560" s="121"/>
      <c r="M560" s="121" t="s">
        <v>314</v>
      </c>
      <c r="N560" s="121"/>
      <c r="O560" s="112">
        <v>875</v>
      </c>
      <c r="P560" s="1"/>
    </row>
    <row r="561" spans="1:16" ht="12.75" x14ac:dyDescent="0.2">
      <c r="A561" s="121"/>
      <c r="B561" s="121"/>
      <c r="C561" s="121"/>
      <c r="D561" s="121"/>
      <c r="E561" s="121" t="s">
        <v>307</v>
      </c>
      <c r="F561" s="121"/>
      <c r="G561" s="122">
        <v>45488</v>
      </c>
      <c r="H561" s="121"/>
      <c r="I561" s="121" t="s">
        <v>1024</v>
      </c>
      <c r="J561" s="121"/>
      <c r="K561" s="121" t="s">
        <v>430</v>
      </c>
      <c r="L561" s="121"/>
      <c r="M561" s="121" t="s">
        <v>941</v>
      </c>
      <c r="N561" s="121"/>
      <c r="O561" s="112">
        <v>875</v>
      </c>
      <c r="P561" s="1"/>
    </row>
    <row r="562" spans="1:16" ht="12.75" x14ac:dyDescent="0.2">
      <c r="A562" s="121"/>
      <c r="B562" s="121"/>
      <c r="C562" s="121"/>
      <c r="D562" s="121"/>
      <c r="E562" s="121" t="s">
        <v>307</v>
      </c>
      <c r="F562" s="121"/>
      <c r="G562" s="122">
        <v>45519</v>
      </c>
      <c r="H562" s="121"/>
      <c r="I562" s="121" t="s">
        <v>1191</v>
      </c>
      <c r="J562" s="121"/>
      <c r="K562" s="121" t="s">
        <v>430</v>
      </c>
      <c r="L562" s="121"/>
      <c r="M562" s="121" t="s">
        <v>970</v>
      </c>
      <c r="N562" s="121"/>
      <c r="O562" s="112">
        <v>875</v>
      </c>
      <c r="P562" s="1"/>
    </row>
    <row r="563" spans="1:16" ht="12.75" x14ac:dyDescent="0.2">
      <c r="A563" s="121"/>
      <c r="B563" s="121"/>
      <c r="C563" s="121"/>
      <c r="D563" s="121"/>
      <c r="E563" s="121" t="s">
        <v>307</v>
      </c>
      <c r="F563" s="121"/>
      <c r="G563" s="122">
        <v>45300</v>
      </c>
      <c r="H563" s="121"/>
      <c r="I563" s="121" t="s">
        <v>861</v>
      </c>
      <c r="J563" s="121"/>
      <c r="K563" s="121" t="s">
        <v>432</v>
      </c>
      <c r="L563" s="121"/>
      <c r="M563" s="121" t="s">
        <v>462</v>
      </c>
      <c r="N563" s="121"/>
      <c r="O563" s="112">
        <v>416.67</v>
      </c>
      <c r="P563" s="1"/>
    </row>
    <row r="564" spans="1:16" ht="12.75" x14ac:dyDescent="0.2">
      <c r="A564" s="121"/>
      <c r="B564" s="121"/>
      <c r="C564" s="121"/>
      <c r="D564" s="121"/>
      <c r="E564" s="121" t="s">
        <v>307</v>
      </c>
      <c r="F564" s="121"/>
      <c r="G564" s="122">
        <v>45344</v>
      </c>
      <c r="H564" s="121"/>
      <c r="I564" s="121" t="s">
        <v>862</v>
      </c>
      <c r="J564" s="121"/>
      <c r="K564" s="121" t="s">
        <v>432</v>
      </c>
      <c r="L564" s="121"/>
      <c r="M564" s="121" t="s">
        <v>464</v>
      </c>
      <c r="N564" s="121"/>
      <c r="O564" s="112">
        <v>416.67</v>
      </c>
      <c r="P564" s="1"/>
    </row>
    <row r="565" spans="1:16" ht="12.75" x14ac:dyDescent="0.2">
      <c r="A565" s="121"/>
      <c r="B565" s="121"/>
      <c r="C565" s="121"/>
      <c r="D565" s="121"/>
      <c r="E565" s="121" t="s">
        <v>1210</v>
      </c>
      <c r="F565" s="121"/>
      <c r="G565" s="122">
        <v>45382</v>
      </c>
      <c r="H565" s="121"/>
      <c r="I565" s="121" t="s">
        <v>824</v>
      </c>
      <c r="J565" s="121"/>
      <c r="K565" s="121" t="s">
        <v>432</v>
      </c>
      <c r="L565" s="121"/>
      <c r="M565" s="121" t="s">
        <v>825</v>
      </c>
      <c r="N565" s="121"/>
      <c r="O565" s="112">
        <v>416.67</v>
      </c>
      <c r="P565" s="1"/>
    </row>
    <row r="566" spans="1:16" ht="12.75" x14ac:dyDescent="0.2">
      <c r="A566" s="121"/>
      <c r="B566" s="121"/>
      <c r="C566" s="121"/>
      <c r="D566" s="121"/>
      <c r="E566" s="121" t="s">
        <v>307</v>
      </c>
      <c r="F566" s="121"/>
      <c r="G566" s="122">
        <v>45391</v>
      </c>
      <c r="H566" s="121"/>
      <c r="I566" s="121" t="s">
        <v>863</v>
      </c>
      <c r="J566" s="121"/>
      <c r="K566" s="121" t="s">
        <v>432</v>
      </c>
      <c r="L566" s="121"/>
      <c r="M566" s="121" t="s">
        <v>322</v>
      </c>
      <c r="N566" s="121"/>
      <c r="O566" s="112">
        <v>416.67</v>
      </c>
      <c r="P566" s="1"/>
    </row>
    <row r="567" spans="1:16" ht="12.75" x14ac:dyDescent="0.2">
      <c r="A567" s="121"/>
      <c r="B567" s="121"/>
      <c r="C567" s="121"/>
      <c r="D567" s="121"/>
      <c r="E567" s="121" t="s">
        <v>307</v>
      </c>
      <c r="F567" s="121"/>
      <c r="G567" s="122">
        <v>45425</v>
      </c>
      <c r="H567" s="121"/>
      <c r="I567" s="121" t="s">
        <v>864</v>
      </c>
      <c r="J567" s="121"/>
      <c r="K567" s="121" t="s">
        <v>432</v>
      </c>
      <c r="L567" s="121"/>
      <c r="M567" s="121" t="s">
        <v>311</v>
      </c>
      <c r="N567" s="121"/>
      <c r="O567" s="112">
        <v>416.67</v>
      </c>
      <c r="P567" s="1"/>
    </row>
    <row r="568" spans="1:16" ht="12.75" x14ac:dyDescent="0.2">
      <c r="A568" s="121"/>
      <c r="B568" s="121"/>
      <c r="C568" s="121"/>
      <c r="D568" s="121"/>
      <c r="E568" s="121" t="s">
        <v>307</v>
      </c>
      <c r="F568" s="121"/>
      <c r="G568" s="122">
        <v>45450</v>
      </c>
      <c r="H568" s="121"/>
      <c r="I568" s="121" t="s">
        <v>431</v>
      </c>
      <c r="J568" s="121"/>
      <c r="K568" s="121" t="s">
        <v>432</v>
      </c>
      <c r="L568" s="121"/>
      <c r="M568" s="121" t="s">
        <v>314</v>
      </c>
      <c r="N568" s="121"/>
      <c r="O568" s="112">
        <v>416.67</v>
      </c>
      <c r="P568" s="1"/>
    </row>
    <row r="569" spans="1:16" ht="12.75" x14ac:dyDescent="0.2">
      <c r="A569" s="121"/>
      <c r="B569" s="121"/>
      <c r="C569" s="121"/>
      <c r="D569" s="121"/>
      <c r="E569" s="121" t="s">
        <v>307</v>
      </c>
      <c r="F569" s="121"/>
      <c r="G569" s="122">
        <v>45482</v>
      </c>
      <c r="H569" s="121"/>
      <c r="I569" s="121" t="s">
        <v>1025</v>
      </c>
      <c r="J569" s="121"/>
      <c r="K569" s="121" t="s">
        <v>432</v>
      </c>
      <c r="L569" s="121"/>
      <c r="M569" s="121" t="s">
        <v>941</v>
      </c>
      <c r="N569" s="121"/>
      <c r="O569" s="112">
        <v>416.67</v>
      </c>
      <c r="P569" s="1"/>
    </row>
    <row r="570" spans="1:16" ht="12.75" x14ac:dyDescent="0.2">
      <c r="A570" s="121"/>
      <c r="B570" s="121"/>
      <c r="C570" s="121"/>
      <c r="D570" s="121"/>
      <c r="E570" s="121" t="s">
        <v>307</v>
      </c>
      <c r="F570" s="121"/>
      <c r="G570" s="122">
        <v>45505</v>
      </c>
      <c r="H570" s="121"/>
      <c r="I570" s="121" t="s">
        <v>1192</v>
      </c>
      <c r="J570" s="121"/>
      <c r="K570" s="121" t="s">
        <v>432</v>
      </c>
      <c r="L570" s="121"/>
      <c r="M570" s="121" t="s">
        <v>970</v>
      </c>
      <c r="N570" s="121"/>
      <c r="O570" s="112">
        <v>416.67</v>
      </c>
      <c r="P570" s="1"/>
    </row>
    <row r="571" spans="1:16" ht="12.75" x14ac:dyDescent="0.2">
      <c r="A571" s="121"/>
      <c r="B571" s="121"/>
      <c r="C571" s="121"/>
      <c r="D571" s="121"/>
      <c r="E571" s="121" t="s">
        <v>307</v>
      </c>
      <c r="F571" s="121"/>
      <c r="G571" s="122">
        <v>45315</v>
      </c>
      <c r="H571" s="121"/>
      <c r="I571" s="121" t="s">
        <v>865</v>
      </c>
      <c r="J571" s="121"/>
      <c r="K571" s="121" t="s">
        <v>434</v>
      </c>
      <c r="L571" s="121"/>
      <c r="M571" s="121" t="s">
        <v>462</v>
      </c>
      <c r="N571" s="121"/>
      <c r="O571" s="112">
        <v>3125</v>
      </c>
      <c r="P571" s="1"/>
    </row>
    <row r="572" spans="1:16" ht="12.75" x14ac:dyDescent="0.2">
      <c r="A572" s="121"/>
      <c r="B572" s="121"/>
      <c r="C572" s="121"/>
      <c r="D572" s="121"/>
      <c r="E572" s="121" t="s">
        <v>307</v>
      </c>
      <c r="F572" s="121"/>
      <c r="G572" s="122">
        <v>45349</v>
      </c>
      <c r="H572" s="121"/>
      <c r="I572" s="121" t="s">
        <v>866</v>
      </c>
      <c r="J572" s="121"/>
      <c r="K572" s="121" t="s">
        <v>434</v>
      </c>
      <c r="L572" s="121"/>
      <c r="M572" s="121" t="s">
        <v>464</v>
      </c>
      <c r="N572" s="121"/>
      <c r="O572" s="112">
        <v>3125</v>
      </c>
      <c r="P572" s="1"/>
    </row>
    <row r="573" spans="1:16" ht="12.75" x14ac:dyDescent="0.2">
      <c r="A573" s="121"/>
      <c r="B573" s="121"/>
      <c r="C573" s="121"/>
      <c r="D573" s="121"/>
      <c r="E573" s="121" t="s">
        <v>307</v>
      </c>
      <c r="F573" s="121"/>
      <c r="G573" s="122">
        <v>45378</v>
      </c>
      <c r="H573" s="121"/>
      <c r="I573" s="121" t="s">
        <v>867</v>
      </c>
      <c r="J573" s="121"/>
      <c r="K573" s="121" t="s">
        <v>434</v>
      </c>
      <c r="L573" s="121"/>
      <c r="M573" s="121" t="s">
        <v>420</v>
      </c>
      <c r="N573" s="121"/>
      <c r="O573" s="112">
        <v>3125</v>
      </c>
      <c r="P573" s="1"/>
    </row>
    <row r="574" spans="1:16" ht="12.75" x14ac:dyDescent="0.2">
      <c r="A574" s="121"/>
      <c r="B574" s="121"/>
      <c r="C574" s="121"/>
      <c r="D574" s="121"/>
      <c r="E574" s="121" t="s">
        <v>307</v>
      </c>
      <c r="F574" s="121"/>
      <c r="G574" s="122">
        <v>45418</v>
      </c>
      <c r="H574" s="121"/>
      <c r="I574" s="121" t="s">
        <v>868</v>
      </c>
      <c r="J574" s="121"/>
      <c r="K574" s="121" t="s">
        <v>434</v>
      </c>
      <c r="L574" s="121"/>
      <c r="M574" s="121" t="s">
        <v>322</v>
      </c>
      <c r="N574" s="121"/>
      <c r="O574" s="112">
        <v>3125</v>
      </c>
      <c r="P574" s="1"/>
    </row>
    <row r="575" spans="1:16" ht="12.75" x14ac:dyDescent="0.2">
      <c r="A575" s="121"/>
      <c r="B575" s="121"/>
      <c r="C575" s="121"/>
      <c r="D575" s="121"/>
      <c r="E575" s="121" t="s">
        <v>307</v>
      </c>
      <c r="F575" s="121"/>
      <c r="G575" s="122">
        <v>45440</v>
      </c>
      <c r="H575" s="121"/>
      <c r="I575" s="121" t="s">
        <v>869</v>
      </c>
      <c r="J575" s="121"/>
      <c r="K575" s="121" t="s">
        <v>434</v>
      </c>
      <c r="L575" s="121"/>
      <c r="M575" s="121" t="s">
        <v>311</v>
      </c>
      <c r="N575" s="121"/>
      <c r="O575" s="112">
        <v>3125</v>
      </c>
      <c r="P575" s="1"/>
    </row>
    <row r="576" spans="1:16" ht="12.75" x14ac:dyDescent="0.2">
      <c r="A576" s="121"/>
      <c r="B576" s="121"/>
      <c r="C576" s="121"/>
      <c r="D576" s="121"/>
      <c r="E576" s="121" t="s">
        <v>307</v>
      </c>
      <c r="F576" s="121"/>
      <c r="G576" s="122">
        <v>45470</v>
      </c>
      <c r="H576" s="121"/>
      <c r="I576" s="121" t="s">
        <v>433</v>
      </c>
      <c r="J576" s="121"/>
      <c r="K576" s="121" t="s">
        <v>434</v>
      </c>
      <c r="L576" s="121"/>
      <c r="M576" s="121" t="s">
        <v>314</v>
      </c>
      <c r="N576" s="121"/>
      <c r="O576" s="112">
        <v>3125</v>
      </c>
      <c r="P576" s="1"/>
    </row>
    <row r="577" spans="1:16" ht="12.75" x14ac:dyDescent="0.2">
      <c r="A577" s="121"/>
      <c r="B577" s="121"/>
      <c r="C577" s="121"/>
      <c r="D577" s="121"/>
      <c r="E577" s="121" t="s">
        <v>307</v>
      </c>
      <c r="F577" s="121"/>
      <c r="G577" s="122">
        <v>45532</v>
      </c>
      <c r="H577" s="121"/>
      <c r="I577" s="121" t="s">
        <v>1193</v>
      </c>
      <c r="J577" s="121"/>
      <c r="K577" s="121" t="s">
        <v>434</v>
      </c>
      <c r="L577" s="121"/>
      <c r="M577" s="121" t="s">
        <v>941</v>
      </c>
      <c r="N577" s="121"/>
      <c r="O577" s="112">
        <v>3125</v>
      </c>
      <c r="P577" s="1"/>
    </row>
    <row r="578" spans="1:16" ht="12.75" x14ac:dyDescent="0.2">
      <c r="A578" s="121"/>
      <c r="B578" s="121"/>
      <c r="C578" s="121"/>
      <c r="D578" s="121"/>
      <c r="E578" s="121" t="s">
        <v>307</v>
      </c>
      <c r="F578" s="121"/>
      <c r="G578" s="122">
        <v>45532</v>
      </c>
      <c r="H578" s="121"/>
      <c r="I578" s="121" t="s">
        <v>1194</v>
      </c>
      <c r="J578" s="121"/>
      <c r="K578" s="121" t="s">
        <v>434</v>
      </c>
      <c r="L578" s="121"/>
      <c r="M578" s="121" t="s">
        <v>970</v>
      </c>
      <c r="N578" s="121"/>
      <c r="O578" s="112">
        <v>3125</v>
      </c>
      <c r="P578" s="1"/>
    </row>
    <row r="579" spans="1:16" ht="12.75" x14ac:dyDescent="0.2">
      <c r="A579" s="121"/>
      <c r="B579" s="121"/>
      <c r="C579" s="121"/>
      <c r="D579" s="121"/>
      <c r="E579" s="121" t="s">
        <v>307</v>
      </c>
      <c r="F579" s="121"/>
      <c r="G579" s="122">
        <v>45336</v>
      </c>
      <c r="H579" s="121"/>
      <c r="I579" s="121" t="s">
        <v>870</v>
      </c>
      <c r="J579" s="121"/>
      <c r="K579" s="121" t="s">
        <v>436</v>
      </c>
      <c r="L579" s="121"/>
      <c r="M579" s="121" t="s">
        <v>462</v>
      </c>
      <c r="N579" s="121"/>
      <c r="O579" s="112">
        <v>1342.68</v>
      </c>
      <c r="P579" s="1"/>
    </row>
    <row r="580" spans="1:16" ht="12.75" x14ac:dyDescent="0.2">
      <c r="A580" s="121"/>
      <c r="B580" s="121"/>
      <c r="C580" s="121"/>
      <c r="D580" s="121"/>
      <c r="E580" s="121" t="s">
        <v>307</v>
      </c>
      <c r="F580" s="121"/>
      <c r="G580" s="122">
        <v>45376</v>
      </c>
      <c r="H580" s="121"/>
      <c r="I580" s="121" t="s">
        <v>871</v>
      </c>
      <c r="J580" s="121"/>
      <c r="K580" s="121" t="s">
        <v>436</v>
      </c>
      <c r="L580" s="121"/>
      <c r="M580" s="121" t="s">
        <v>464</v>
      </c>
      <c r="N580" s="121"/>
      <c r="O580" s="112">
        <v>1526.05</v>
      </c>
      <c r="P580" s="1"/>
    </row>
    <row r="581" spans="1:16" ht="12.75" x14ac:dyDescent="0.2">
      <c r="A581" s="121"/>
      <c r="B581" s="121"/>
      <c r="C581" s="121"/>
      <c r="D581" s="121"/>
      <c r="E581" s="121" t="s">
        <v>307</v>
      </c>
      <c r="F581" s="121"/>
      <c r="G581" s="122">
        <v>45405</v>
      </c>
      <c r="H581" s="121"/>
      <c r="I581" s="121" t="s">
        <v>872</v>
      </c>
      <c r="J581" s="121"/>
      <c r="K581" s="121" t="s">
        <v>436</v>
      </c>
      <c r="L581" s="121"/>
      <c r="M581" s="121" t="s">
        <v>420</v>
      </c>
      <c r="N581" s="121"/>
      <c r="O581" s="112">
        <v>1431.67</v>
      </c>
      <c r="P581" s="1"/>
    </row>
    <row r="582" spans="1:16" ht="12.75" x14ac:dyDescent="0.2">
      <c r="A582" s="121"/>
      <c r="B582" s="121"/>
      <c r="C582" s="121"/>
      <c r="D582" s="121"/>
      <c r="E582" s="121" t="s">
        <v>307</v>
      </c>
      <c r="F582" s="121"/>
      <c r="G582" s="122">
        <v>45433</v>
      </c>
      <c r="H582" s="121"/>
      <c r="I582" s="121" t="s">
        <v>873</v>
      </c>
      <c r="J582" s="121"/>
      <c r="K582" s="121" t="s">
        <v>436</v>
      </c>
      <c r="L582" s="121"/>
      <c r="M582" s="121" t="s">
        <v>322</v>
      </c>
      <c r="N582" s="121"/>
      <c r="O582" s="112">
        <v>1302.21</v>
      </c>
      <c r="P582" s="1"/>
    </row>
    <row r="583" spans="1:16" ht="12.75" x14ac:dyDescent="0.2">
      <c r="A583" s="121"/>
      <c r="B583" s="121"/>
      <c r="C583" s="121"/>
      <c r="D583" s="121"/>
      <c r="E583" s="121" t="s">
        <v>307</v>
      </c>
      <c r="F583" s="121"/>
      <c r="G583" s="122">
        <v>45453</v>
      </c>
      <c r="H583" s="121"/>
      <c r="I583" s="121" t="s">
        <v>435</v>
      </c>
      <c r="J583" s="121"/>
      <c r="K583" s="121" t="s">
        <v>436</v>
      </c>
      <c r="L583" s="121"/>
      <c r="M583" s="121" t="s">
        <v>311</v>
      </c>
      <c r="N583" s="121"/>
      <c r="O583" s="112">
        <v>1322.91</v>
      </c>
      <c r="P583" s="1"/>
    </row>
    <row r="584" spans="1:16" ht="12.75" x14ac:dyDescent="0.2">
      <c r="A584" s="121"/>
      <c r="B584" s="121"/>
      <c r="C584" s="121"/>
      <c r="D584" s="121"/>
      <c r="E584" s="121" t="s">
        <v>307</v>
      </c>
      <c r="F584" s="121"/>
      <c r="G584" s="122">
        <v>45489</v>
      </c>
      <c r="H584" s="121"/>
      <c r="I584" s="121" t="s">
        <v>1026</v>
      </c>
      <c r="J584" s="121"/>
      <c r="K584" s="121" t="s">
        <v>436</v>
      </c>
      <c r="L584" s="121"/>
      <c r="M584" s="121" t="s">
        <v>314</v>
      </c>
      <c r="N584" s="121"/>
      <c r="O584" s="112">
        <v>1387.97</v>
      </c>
      <c r="P584" s="1"/>
    </row>
    <row r="585" spans="1:16" ht="12.75" x14ac:dyDescent="0.2">
      <c r="A585" s="121"/>
      <c r="B585" s="121"/>
      <c r="C585" s="121"/>
      <c r="D585" s="121"/>
      <c r="E585" s="121" t="s">
        <v>307</v>
      </c>
      <c r="F585" s="121"/>
      <c r="G585" s="122">
        <v>45523</v>
      </c>
      <c r="H585" s="121"/>
      <c r="I585" s="121" t="s">
        <v>1195</v>
      </c>
      <c r="J585" s="121"/>
      <c r="K585" s="121" t="s">
        <v>436</v>
      </c>
      <c r="L585" s="121"/>
      <c r="M585" s="121" t="s">
        <v>941</v>
      </c>
      <c r="N585" s="121"/>
      <c r="O585" s="112">
        <v>1521.16</v>
      </c>
      <c r="P585" s="1"/>
    </row>
    <row r="586" spans="1:16" ht="12.75" x14ac:dyDescent="0.2">
      <c r="A586" s="121"/>
      <c r="B586" s="121"/>
      <c r="C586" s="121"/>
      <c r="D586" s="121"/>
      <c r="E586" s="121" t="s">
        <v>307</v>
      </c>
      <c r="F586" s="121"/>
      <c r="G586" s="122">
        <v>45327</v>
      </c>
      <c r="H586" s="121"/>
      <c r="I586" s="121" t="s">
        <v>874</v>
      </c>
      <c r="J586" s="121"/>
      <c r="K586" s="121" t="s">
        <v>292</v>
      </c>
      <c r="L586" s="121"/>
      <c r="M586" s="121" t="s">
        <v>462</v>
      </c>
      <c r="N586" s="121"/>
      <c r="O586" s="112">
        <v>100</v>
      </c>
      <c r="P586" s="1"/>
    </row>
    <row r="587" spans="1:16" ht="12.75" x14ac:dyDescent="0.2">
      <c r="A587" s="121"/>
      <c r="B587" s="121"/>
      <c r="C587" s="121"/>
      <c r="D587" s="121"/>
      <c r="E587" s="121" t="s">
        <v>307</v>
      </c>
      <c r="F587" s="121"/>
      <c r="G587" s="122">
        <v>45350</v>
      </c>
      <c r="H587" s="121"/>
      <c r="I587" s="121" t="s">
        <v>875</v>
      </c>
      <c r="J587" s="121"/>
      <c r="K587" s="121" t="s">
        <v>292</v>
      </c>
      <c r="L587" s="121"/>
      <c r="M587" s="121" t="s">
        <v>464</v>
      </c>
      <c r="N587" s="121"/>
      <c r="O587" s="112">
        <v>100</v>
      </c>
      <c r="P587" s="1"/>
    </row>
    <row r="588" spans="1:16" ht="12.75" x14ac:dyDescent="0.2">
      <c r="A588" s="121"/>
      <c r="B588" s="121"/>
      <c r="C588" s="121"/>
      <c r="D588" s="121"/>
      <c r="E588" s="121" t="s">
        <v>307</v>
      </c>
      <c r="F588" s="121"/>
      <c r="G588" s="122">
        <v>45399</v>
      </c>
      <c r="H588" s="121"/>
      <c r="I588" s="121" t="s">
        <v>876</v>
      </c>
      <c r="J588" s="121"/>
      <c r="K588" s="121" t="s">
        <v>292</v>
      </c>
      <c r="L588" s="121"/>
      <c r="M588" s="121" t="s">
        <v>420</v>
      </c>
      <c r="N588" s="121"/>
      <c r="O588" s="112">
        <v>100</v>
      </c>
      <c r="P588" s="1"/>
    </row>
    <row r="589" spans="1:16" ht="12.75" x14ac:dyDescent="0.2">
      <c r="A589" s="121"/>
      <c r="B589" s="121"/>
      <c r="C589" s="121"/>
      <c r="D589" s="121"/>
      <c r="E589" s="121" t="s">
        <v>307</v>
      </c>
      <c r="F589" s="121"/>
      <c r="G589" s="122">
        <v>45418</v>
      </c>
      <c r="H589" s="121"/>
      <c r="I589" s="121" t="s">
        <v>877</v>
      </c>
      <c r="J589" s="121"/>
      <c r="K589" s="121" t="s">
        <v>292</v>
      </c>
      <c r="L589" s="121"/>
      <c r="M589" s="121" t="s">
        <v>322</v>
      </c>
      <c r="N589" s="121"/>
      <c r="O589" s="112">
        <v>100</v>
      </c>
      <c r="P589" s="1"/>
    </row>
    <row r="590" spans="1:16" ht="12.75" x14ac:dyDescent="0.2">
      <c r="A590" s="121"/>
      <c r="B590" s="121"/>
      <c r="C590" s="121"/>
      <c r="D590" s="121"/>
      <c r="E590" s="121" t="s">
        <v>307</v>
      </c>
      <c r="F590" s="121"/>
      <c r="G590" s="122">
        <v>45447</v>
      </c>
      <c r="H590" s="121"/>
      <c r="I590" s="121" t="s">
        <v>437</v>
      </c>
      <c r="J590" s="121"/>
      <c r="K590" s="121" t="s">
        <v>292</v>
      </c>
      <c r="L590" s="121"/>
      <c r="M590" s="121" t="s">
        <v>311</v>
      </c>
      <c r="N590" s="121"/>
      <c r="O590" s="112">
        <v>100</v>
      </c>
      <c r="P590" s="1"/>
    </row>
    <row r="591" spans="1:16" ht="12.75" x14ac:dyDescent="0.2">
      <c r="A591" s="121"/>
      <c r="B591" s="121"/>
      <c r="C591" s="121"/>
      <c r="D591" s="121"/>
      <c r="E591" s="121" t="s">
        <v>307</v>
      </c>
      <c r="F591" s="121"/>
      <c r="G591" s="122">
        <v>45482</v>
      </c>
      <c r="H591" s="121"/>
      <c r="I591" s="121" t="s">
        <v>1027</v>
      </c>
      <c r="J591" s="121"/>
      <c r="K591" s="121" t="s">
        <v>292</v>
      </c>
      <c r="L591" s="121"/>
      <c r="M591" s="121" t="s">
        <v>314</v>
      </c>
      <c r="N591" s="121"/>
      <c r="O591" s="112">
        <v>100</v>
      </c>
      <c r="P591" s="1"/>
    </row>
    <row r="592" spans="1:16" ht="12.75" x14ac:dyDescent="0.2">
      <c r="A592" s="121"/>
      <c r="B592" s="121"/>
      <c r="C592" s="121"/>
      <c r="D592" s="121"/>
      <c r="E592" s="121" t="s">
        <v>307</v>
      </c>
      <c r="F592" s="121"/>
      <c r="G592" s="122">
        <v>45510</v>
      </c>
      <c r="H592" s="121"/>
      <c r="I592" s="121" t="s">
        <v>1196</v>
      </c>
      <c r="J592" s="121"/>
      <c r="K592" s="121" t="s">
        <v>292</v>
      </c>
      <c r="L592" s="121"/>
      <c r="M592" s="121" t="s">
        <v>941</v>
      </c>
      <c r="N592" s="121"/>
      <c r="O592" s="112">
        <v>100</v>
      </c>
      <c r="P592" s="1"/>
    </row>
    <row r="593" spans="1:16" ht="12.75" x14ac:dyDescent="0.2">
      <c r="A593" s="121"/>
      <c r="B593" s="121"/>
      <c r="C593" s="121"/>
      <c r="D593" s="121"/>
      <c r="E593" s="121" t="s">
        <v>307</v>
      </c>
      <c r="F593" s="121"/>
      <c r="G593" s="122">
        <v>45349</v>
      </c>
      <c r="H593" s="121"/>
      <c r="I593" s="121" t="s">
        <v>878</v>
      </c>
      <c r="J593" s="121"/>
      <c r="K593" s="121" t="s">
        <v>439</v>
      </c>
      <c r="L593" s="121"/>
      <c r="M593" s="121" t="s">
        <v>462</v>
      </c>
      <c r="N593" s="121"/>
      <c r="O593" s="112">
        <v>400</v>
      </c>
      <c r="P593" s="1"/>
    </row>
    <row r="594" spans="1:16" ht="12.75" x14ac:dyDescent="0.2">
      <c r="A594" s="121"/>
      <c r="B594" s="121"/>
      <c r="C594" s="121"/>
      <c r="D594" s="121"/>
      <c r="E594" s="121" t="s">
        <v>307</v>
      </c>
      <c r="F594" s="121"/>
      <c r="G594" s="122">
        <v>45349</v>
      </c>
      <c r="H594" s="121"/>
      <c r="I594" s="121" t="s">
        <v>879</v>
      </c>
      <c r="J594" s="121"/>
      <c r="K594" s="121" t="s">
        <v>439</v>
      </c>
      <c r="L594" s="121"/>
      <c r="M594" s="121" t="s">
        <v>464</v>
      </c>
      <c r="N594" s="121"/>
      <c r="O594" s="112">
        <v>400</v>
      </c>
      <c r="P594" s="1"/>
    </row>
    <row r="595" spans="1:16" ht="12.75" x14ac:dyDescent="0.2">
      <c r="A595" s="121"/>
      <c r="B595" s="121"/>
      <c r="C595" s="121"/>
      <c r="D595" s="121"/>
      <c r="E595" s="121" t="s">
        <v>307</v>
      </c>
      <c r="F595" s="121"/>
      <c r="G595" s="122">
        <v>45365</v>
      </c>
      <c r="H595" s="121"/>
      <c r="I595" s="121" t="s">
        <v>880</v>
      </c>
      <c r="J595" s="121"/>
      <c r="K595" s="121" t="s">
        <v>439</v>
      </c>
      <c r="L595" s="121"/>
      <c r="M595" s="121" t="s">
        <v>420</v>
      </c>
      <c r="N595" s="121"/>
      <c r="O595" s="112">
        <v>400</v>
      </c>
      <c r="P595" s="1"/>
    </row>
    <row r="596" spans="1:16" ht="12.75" x14ac:dyDescent="0.2">
      <c r="A596" s="121"/>
      <c r="B596" s="121"/>
      <c r="C596" s="121"/>
      <c r="D596" s="121"/>
      <c r="E596" s="121" t="s">
        <v>307</v>
      </c>
      <c r="F596" s="121"/>
      <c r="G596" s="122">
        <v>45394</v>
      </c>
      <c r="H596" s="121"/>
      <c r="I596" s="121" t="s">
        <v>881</v>
      </c>
      <c r="J596" s="121"/>
      <c r="K596" s="121" t="s">
        <v>439</v>
      </c>
      <c r="L596" s="121"/>
      <c r="M596" s="121" t="s">
        <v>322</v>
      </c>
      <c r="N596" s="121"/>
      <c r="O596" s="112">
        <v>400</v>
      </c>
      <c r="P596" s="1"/>
    </row>
    <row r="597" spans="1:16" ht="12.75" x14ac:dyDescent="0.2">
      <c r="A597" s="121"/>
      <c r="B597" s="121"/>
      <c r="C597" s="121"/>
      <c r="D597" s="121"/>
      <c r="E597" s="121" t="s">
        <v>307</v>
      </c>
      <c r="F597" s="121"/>
      <c r="G597" s="122">
        <v>45455</v>
      </c>
      <c r="H597" s="121"/>
      <c r="I597" s="121" t="s">
        <v>438</v>
      </c>
      <c r="J597" s="121"/>
      <c r="K597" s="121" t="s">
        <v>439</v>
      </c>
      <c r="L597" s="121"/>
      <c r="M597" s="121" t="s">
        <v>314</v>
      </c>
      <c r="N597" s="121"/>
      <c r="O597" s="112">
        <v>400</v>
      </c>
      <c r="P597" s="1"/>
    </row>
    <row r="598" spans="1:16" ht="12.75" x14ac:dyDescent="0.2">
      <c r="A598" s="121"/>
      <c r="B598" s="121"/>
      <c r="C598" s="121"/>
      <c r="D598" s="121"/>
      <c r="E598" s="121" t="s">
        <v>307</v>
      </c>
      <c r="F598" s="121"/>
      <c r="G598" s="122">
        <v>45455</v>
      </c>
      <c r="H598" s="121"/>
      <c r="I598" s="121" t="s">
        <v>440</v>
      </c>
      <c r="J598" s="121"/>
      <c r="K598" s="121" t="s">
        <v>439</v>
      </c>
      <c r="L598" s="121"/>
      <c r="M598" s="121" t="s">
        <v>311</v>
      </c>
      <c r="N598" s="121"/>
      <c r="O598" s="112">
        <v>400</v>
      </c>
      <c r="P598" s="1"/>
    </row>
    <row r="599" spans="1:16" ht="12.75" x14ac:dyDescent="0.2">
      <c r="A599" s="121"/>
      <c r="B599" s="121"/>
      <c r="C599" s="121"/>
      <c r="D599" s="121"/>
      <c r="E599" s="121" t="s">
        <v>307</v>
      </c>
      <c r="F599" s="121"/>
      <c r="G599" s="122">
        <v>45518</v>
      </c>
      <c r="H599" s="121"/>
      <c r="I599" s="121" t="s">
        <v>1197</v>
      </c>
      <c r="J599" s="121"/>
      <c r="K599" s="121" t="s">
        <v>439</v>
      </c>
      <c r="L599" s="121"/>
      <c r="M599" s="121" t="s">
        <v>941</v>
      </c>
      <c r="N599" s="121"/>
      <c r="O599" s="112">
        <v>400</v>
      </c>
      <c r="P599" s="1"/>
    </row>
    <row r="600" spans="1:16" ht="12.75" x14ac:dyDescent="0.2">
      <c r="A600" s="121"/>
      <c r="B600" s="121"/>
      <c r="C600" s="121"/>
      <c r="D600" s="121"/>
      <c r="E600" s="121" t="s">
        <v>307</v>
      </c>
      <c r="F600" s="121"/>
      <c r="G600" s="122">
        <v>45518</v>
      </c>
      <c r="H600" s="121"/>
      <c r="I600" s="121" t="s">
        <v>1198</v>
      </c>
      <c r="J600" s="121"/>
      <c r="K600" s="121" t="s">
        <v>439</v>
      </c>
      <c r="L600" s="121"/>
      <c r="M600" s="121" t="s">
        <v>970</v>
      </c>
      <c r="N600" s="121"/>
      <c r="O600" s="112">
        <v>400</v>
      </c>
      <c r="P600" s="1"/>
    </row>
    <row r="601" spans="1:16" ht="12.75" x14ac:dyDescent="0.2">
      <c r="A601" s="121"/>
      <c r="B601" s="121"/>
      <c r="C601" s="121"/>
      <c r="D601" s="121"/>
      <c r="E601" s="121" t="s">
        <v>307</v>
      </c>
      <c r="F601" s="121"/>
      <c r="G601" s="122">
        <v>45322</v>
      </c>
      <c r="H601" s="121"/>
      <c r="I601" s="121" t="s">
        <v>882</v>
      </c>
      <c r="J601" s="121"/>
      <c r="K601" s="121" t="s">
        <v>442</v>
      </c>
      <c r="L601" s="121"/>
      <c r="M601" s="121" t="s">
        <v>462</v>
      </c>
      <c r="N601" s="121"/>
      <c r="O601" s="112">
        <v>600</v>
      </c>
      <c r="P601" s="1"/>
    </row>
    <row r="602" spans="1:16" ht="12.75" x14ac:dyDescent="0.2">
      <c r="A602" s="121"/>
      <c r="B602" s="121"/>
      <c r="C602" s="121"/>
      <c r="D602" s="121"/>
      <c r="E602" s="121" t="s">
        <v>307</v>
      </c>
      <c r="F602" s="121"/>
      <c r="G602" s="122">
        <v>45363</v>
      </c>
      <c r="H602" s="121"/>
      <c r="I602" s="121" t="s">
        <v>883</v>
      </c>
      <c r="J602" s="121"/>
      <c r="K602" s="121" t="s">
        <v>442</v>
      </c>
      <c r="L602" s="121"/>
      <c r="M602" s="121" t="s">
        <v>464</v>
      </c>
      <c r="N602" s="121"/>
      <c r="O602" s="112">
        <v>600</v>
      </c>
      <c r="P602" s="1"/>
    </row>
    <row r="603" spans="1:16" ht="12.75" x14ac:dyDescent="0.2">
      <c r="A603" s="121"/>
      <c r="B603" s="121"/>
      <c r="C603" s="121"/>
      <c r="D603" s="121"/>
      <c r="E603" s="121" t="s">
        <v>307</v>
      </c>
      <c r="F603" s="121"/>
      <c r="G603" s="122">
        <v>45385</v>
      </c>
      <c r="H603" s="121"/>
      <c r="I603" s="121" t="s">
        <v>884</v>
      </c>
      <c r="J603" s="121"/>
      <c r="K603" s="121" t="s">
        <v>442</v>
      </c>
      <c r="L603" s="121"/>
      <c r="M603" s="121" t="s">
        <v>420</v>
      </c>
      <c r="N603" s="121"/>
      <c r="O603" s="112">
        <v>600</v>
      </c>
      <c r="P603" s="1"/>
    </row>
    <row r="604" spans="1:16" ht="12.75" x14ac:dyDescent="0.2">
      <c r="A604" s="121"/>
      <c r="B604" s="121"/>
      <c r="C604" s="121"/>
      <c r="D604" s="121"/>
      <c r="E604" s="121" t="s">
        <v>307</v>
      </c>
      <c r="F604" s="121"/>
      <c r="G604" s="122">
        <v>45427</v>
      </c>
      <c r="H604" s="121"/>
      <c r="I604" s="121" t="s">
        <v>885</v>
      </c>
      <c r="J604" s="121"/>
      <c r="K604" s="121" t="s">
        <v>442</v>
      </c>
      <c r="L604" s="121"/>
      <c r="M604" s="121" t="s">
        <v>322</v>
      </c>
      <c r="N604" s="121"/>
      <c r="O604" s="112">
        <v>600</v>
      </c>
      <c r="P604" s="1"/>
    </row>
    <row r="605" spans="1:16" ht="12.75" x14ac:dyDescent="0.2">
      <c r="A605" s="121"/>
      <c r="B605" s="121"/>
      <c r="C605" s="121"/>
      <c r="D605" s="121"/>
      <c r="E605" s="121" t="s">
        <v>307</v>
      </c>
      <c r="F605" s="121"/>
      <c r="G605" s="122">
        <v>45448</v>
      </c>
      <c r="H605" s="121"/>
      <c r="I605" s="121" t="s">
        <v>441</v>
      </c>
      <c r="J605" s="121"/>
      <c r="K605" s="121" t="s">
        <v>442</v>
      </c>
      <c r="L605" s="121"/>
      <c r="M605" s="121" t="s">
        <v>311</v>
      </c>
      <c r="N605" s="121"/>
      <c r="O605" s="112">
        <v>600</v>
      </c>
      <c r="P605" s="1"/>
    </row>
    <row r="606" spans="1:16" ht="12.75" x14ac:dyDescent="0.2">
      <c r="A606" s="121"/>
      <c r="B606" s="121"/>
      <c r="C606" s="121"/>
      <c r="D606" s="121"/>
      <c r="E606" s="121" t="s">
        <v>307</v>
      </c>
      <c r="F606" s="121"/>
      <c r="G606" s="122">
        <v>45478</v>
      </c>
      <c r="H606" s="121"/>
      <c r="I606" s="121" t="s">
        <v>1028</v>
      </c>
      <c r="J606" s="121"/>
      <c r="K606" s="121" t="s">
        <v>442</v>
      </c>
      <c r="L606" s="121"/>
      <c r="M606" s="121" t="s">
        <v>314</v>
      </c>
      <c r="N606" s="121"/>
      <c r="O606" s="112">
        <v>600</v>
      </c>
      <c r="P606" s="1"/>
    </row>
    <row r="607" spans="1:16" ht="12.75" x14ac:dyDescent="0.2">
      <c r="A607" s="121"/>
      <c r="B607" s="121"/>
      <c r="C607" s="121"/>
      <c r="D607" s="121"/>
      <c r="E607" s="121" t="s">
        <v>307</v>
      </c>
      <c r="F607" s="121"/>
      <c r="G607" s="122">
        <v>45496</v>
      </c>
      <c r="H607" s="121"/>
      <c r="I607" s="121" t="s">
        <v>1029</v>
      </c>
      <c r="J607" s="121"/>
      <c r="K607" s="121" t="s">
        <v>442</v>
      </c>
      <c r="L607" s="121"/>
      <c r="M607" s="121" t="s">
        <v>941</v>
      </c>
      <c r="N607" s="121"/>
      <c r="O607" s="112">
        <v>600</v>
      </c>
      <c r="P607" s="1"/>
    </row>
    <row r="608" spans="1:16" ht="12.75" x14ac:dyDescent="0.2">
      <c r="A608" s="121"/>
      <c r="B608" s="121"/>
      <c r="C608" s="121"/>
      <c r="D608" s="121"/>
      <c r="E608" s="121" t="s">
        <v>307</v>
      </c>
      <c r="F608" s="121"/>
      <c r="G608" s="122">
        <v>45534</v>
      </c>
      <c r="H608" s="121"/>
      <c r="I608" s="121" t="s">
        <v>1199</v>
      </c>
      <c r="J608" s="121"/>
      <c r="K608" s="121" t="s">
        <v>442</v>
      </c>
      <c r="L608" s="121"/>
      <c r="M608" s="121" t="s">
        <v>970</v>
      </c>
      <c r="N608" s="121"/>
      <c r="O608" s="112">
        <v>600</v>
      </c>
      <c r="P608" s="1"/>
    </row>
    <row r="609" spans="1:16" ht="12.75" x14ac:dyDescent="0.2">
      <c r="A609" s="121"/>
      <c r="B609" s="121"/>
      <c r="C609" s="121"/>
      <c r="D609" s="121"/>
      <c r="E609" s="121" t="s">
        <v>307</v>
      </c>
      <c r="F609" s="121"/>
      <c r="G609" s="122">
        <v>45296</v>
      </c>
      <c r="H609" s="121"/>
      <c r="I609" s="121" t="s">
        <v>886</v>
      </c>
      <c r="J609" s="121"/>
      <c r="K609" s="121" t="s">
        <v>444</v>
      </c>
      <c r="L609" s="121"/>
      <c r="M609" s="121" t="s">
        <v>462</v>
      </c>
      <c r="N609" s="121"/>
      <c r="O609" s="112">
        <v>258.33999999999997</v>
      </c>
      <c r="P609" s="1"/>
    </row>
    <row r="610" spans="1:16" ht="12.75" x14ac:dyDescent="0.2">
      <c r="A610" s="121"/>
      <c r="B610" s="121"/>
      <c r="C610" s="121"/>
      <c r="D610" s="121"/>
      <c r="E610" s="121" t="s">
        <v>307</v>
      </c>
      <c r="F610" s="121"/>
      <c r="G610" s="122">
        <v>45331</v>
      </c>
      <c r="H610" s="121"/>
      <c r="I610" s="121" t="s">
        <v>887</v>
      </c>
      <c r="J610" s="121"/>
      <c r="K610" s="121" t="s">
        <v>444</v>
      </c>
      <c r="L610" s="121"/>
      <c r="M610" s="121" t="s">
        <v>464</v>
      </c>
      <c r="N610" s="121"/>
      <c r="O610" s="112">
        <v>258.33999999999997</v>
      </c>
      <c r="P610" s="1"/>
    </row>
    <row r="611" spans="1:16" ht="12.75" x14ac:dyDescent="0.2">
      <c r="A611" s="121"/>
      <c r="B611" s="121"/>
      <c r="C611" s="121"/>
      <c r="D611" s="121"/>
      <c r="E611" s="121" t="s">
        <v>307</v>
      </c>
      <c r="F611" s="121"/>
      <c r="G611" s="122">
        <v>45357</v>
      </c>
      <c r="H611" s="121"/>
      <c r="I611" s="121" t="s">
        <v>888</v>
      </c>
      <c r="J611" s="121"/>
      <c r="K611" s="121" t="s">
        <v>444</v>
      </c>
      <c r="L611" s="121"/>
      <c r="M611" s="121" t="s">
        <v>420</v>
      </c>
      <c r="N611" s="121"/>
      <c r="O611" s="112">
        <v>258.33999999999997</v>
      </c>
      <c r="P611" s="1"/>
    </row>
    <row r="612" spans="1:16" ht="12.75" x14ac:dyDescent="0.2">
      <c r="A612" s="121"/>
      <c r="B612" s="121"/>
      <c r="C612" s="121"/>
      <c r="D612" s="121"/>
      <c r="E612" s="121" t="s">
        <v>307</v>
      </c>
      <c r="F612" s="121"/>
      <c r="G612" s="122">
        <v>45387</v>
      </c>
      <c r="H612" s="121"/>
      <c r="I612" s="121" t="s">
        <v>889</v>
      </c>
      <c r="J612" s="121"/>
      <c r="K612" s="121" t="s">
        <v>444</v>
      </c>
      <c r="L612" s="121"/>
      <c r="M612" s="121" t="s">
        <v>322</v>
      </c>
      <c r="N612" s="121"/>
      <c r="O612" s="112">
        <v>258.33999999999997</v>
      </c>
      <c r="P612" s="1"/>
    </row>
    <row r="613" spans="1:16" ht="12.75" x14ac:dyDescent="0.2">
      <c r="A613" s="121"/>
      <c r="B613" s="121"/>
      <c r="C613" s="121"/>
      <c r="D613" s="121"/>
      <c r="E613" s="121" t="s">
        <v>307</v>
      </c>
      <c r="F613" s="121"/>
      <c r="G613" s="122">
        <v>45418</v>
      </c>
      <c r="H613" s="121"/>
      <c r="I613" s="121" t="s">
        <v>890</v>
      </c>
      <c r="J613" s="121"/>
      <c r="K613" s="121" t="s">
        <v>444</v>
      </c>
      <c r="L613" s="121"/>
      <c r="M613" s="121" t="s">
        <v>311</v>
      </c>
      <c r="N613" s="121"/>
      <c r="O613" s="112">
        <v>258.33999999999997</v>
      </c>
      <c r="P613" s="1"/>
    </row>
    <row r="614" spans="1:16" ht="12.75" x14ac:dyDescent="0.2">
      <c r="A614" s="121"/>
      <c r="B614" s="121"/>
      <c r="C614" s="121"/>
      <c r="D614" s="121"/>
      <c r="E614" s="121" t="s">
        <v>307</v>
      </c>
      <c r="F614" s="121"/>
      <c r="G614" s="122">
        <v>45448</v>
      </c>
      <c r="H614" s="121"/>
      <c r="I614" s="121" t="s">
        <v>443</v>
      </c>
      <c r="J614" s="121"/>
      <c r="K614" s="121" t="s">
        <v>444</v>
      </c>
      <c r="L614" s="121"/>
      <c r="M614" s="121" t="s">
        <v>314</v>
      </c>
      <c r="N614" s="121"/>
      <c r="O614" s="112">
        <v>258.33999999999997</v>
      </c>
      <c r="P614" s="1"/>
    </row>
    <row r="615" spans="1:16" ht="12.75" x14ac:dyDescent="0.2">
      <c r="A615" s="121"/>
      <c r="B615" s="121"/>
      <c r="C615" s="121"/>
      <c r="D615" s="121"/>
      <c r="E615" s="121" t="s">
        <v>307</v>
      </c>
      <c r="F615" s="121"/>
      <c r="G615" s="122">
        <v>45476</v>
      </c>
      <c r="H615" s="121"/>
      <c r="I615" s="121" t="s">
        <v>1030</v>
      </c>
      <c r="J615" s="121"/>
      <c r="K615" s="121" t="s">
        <v>444</v>
      </c>
      <c r="L615" s="121"/>
      <c r="M615" s="121" t="s">
        <v>941</v>
      </c>
      <c r="N615" s="121"/>
      <c r="O615" s="112">
        <v>258.33999999999997</v>
      </c>
      <c r="P615" s="1"/>
    </row>
    <row r="616" spans="1:16" ht="12.75" x14ac:dyDescent="0.2">
      <c r="A616" s="121"/>
      <c r="B616" s="121"/>
      <c r="C616" s="121"/>
      <c r="D616" s="121"/>
      <c r="E616" s="121" t="s">
        <v>307</v>
      </c>
      <c r="F616" s="121"/>
      <c r="G616" s="122">
        <v>45510</v>
      </c>
      <c r="H616" s="121"/>
      <c r="I616" s="121" t="s">
        <v>1200</v>
      </c>
      <c r="J616" s="121"/>
      <c r="K616" s="121" t="s">
        <v>444</v>
      </c>
      <c r="L616" s="121"/>
      <c r="M616" s="121" t="s">
        <v>970</v>
      </c>
      <c r="N616" s="121"/>
      <c r="O616" s="112">
        <v>258.33999999999997</v>
      </c>
      <c r="P616" s="1"/>
    </row>
    <row r="617" spans="1:16" ht="12.75" x14ac:dyDescent="0.2">
      <c r="A617" s="121"/>
      <c r="B617" s="121"/>
      <c r="C617" s="121"/>
      <c r="D617" s="121"/>
      <c r="E617" s="121" t="s">
        <v>307</v>
      </c>
      <c r="F617" s="121"/>
      <c r="G617" s="122">
        <v>45323</v>
      </c>
      <c r="H617" s="121"/>
      <c r="I617" s="121" t="s">
        <v>891</v>
      </c>
      <c r="J617" s="121"/>
      <c r="K617" s="121" t="s">
        <v>446</v>
      </c>
      <c r="L617" s="121"/>
      <c r="M617" s="121" t="s">
        <v>462</v>
      </c>
      <c r="N617" s="121"/>
      <c r="O617" s="112">
        <v>350</v>
      </c>
      <c r="P617" s="1"/>
    </row>
    <row r="618" spans="1:16" ht="12.75" x14ac:dyDescent="0.2">
      <c r="A618" s="121"/>
      <c r="B618" s="121"/>
      <c r="C618" s="121"/>
      <c r="D618" s="121"/>
      <c r="E618" s="121" t="s">
        <v>307</v>
      </c>
      <c r="F618" s="121"/>
      <c r="G618" s="122">
        <v>45371</v>
      </c>
      <c r="H618" s="121"/>
      <c r="I618" s="121" t="s">
        <v>892</v>
      </c>
      <c r="J618" s="121"/>
      <c r="K618" s="121" t="s">
        <v>446</v>
      </c>
      <c r="L618" s="121"/>
      <c r="M618" s="121" t="s">
        <v>464</v>
      </c>
      <c r="N618" s="121"/>
      <c r="O618" s="112">
        <v>350</v>
      </c>
      <c r="P618" s="1"/>
    </row>
    <row r="619" spans="1:16" ht="12.75" x14ac:dyDescent="0.2">
      <c r="A619" s="121"/>
      <c r="B619" s="121"/>
      <c r="C619" s="121"/>
      <c r="D619" s="121"/>
      <c r="E619" s="121" t="s">
        <v>307</v>
      </c>
      <c r="F619" s="121"/>
      <c r="G619" s="122">
        <v>45385</v>
      </c>
      <c r="H619" s="121"/>
      <c r="I619" s="121" t="s">
        <v>893</v>
      </c>
      <c r="J619" s="121"/>
      <c r="K619" s="121" t="s">
        <v>446</v>
      </c>
      <c r="L619" s="121"/>
      <c r="M619" s="121" t="s">
        <v>420</v>
      </c>
      <c r="N619" s="121"/>
      <c r="O619" s="112">
        <v>350</v>
      </c>
      <c r="P619" s="1"/>
    </row>
    <row r="620" spans="1:16" ht="12.75" x14ac:dyDescent="0.2">
      <c r="A620" s="121"/>
      <c r="B620" s="121"/>
      <c r="C620" s="121"/>
      <c r="D620" s="121"/>
      <c r="E620" s="121" t="s">
        <v>307</v>
      </c>
      <c r="F620" s="121"/>
      <c r="G620" s="122">
        <v>45407</v>
      </c>
      <c r="H620" s="121"/>
      <c r="I620" s="121" t="s">
        <v>894</v>
      </c>
      <c r="J620" s="121"/>
      <c r="K620" s="121" t="s">
        <v>446</v>
      </c>
      <c r="L620" s="121"/>
      <c r="M620" s="121" t="s">
        <v>322</v>
      </c>
      <c r="N620" s="121"/>
      <c r="O620" s="112">
        <v>350</v>
      </c>
      <c r="P620" s="1"/>
    </row>
    <row r="621" spans="1:16" ht="12.75" x14ac:dyDescent="0.2">
      <c r="A621" s="121"/>
      <c r="B621" s="121"/>
      <c r="C621" s="121"/>
      <c r="D621" s="121"/>
      <c r="E621" s="121" t="s">
        <v>307</v>
      </c>
      <c r="F621" s="121"/>
      <c r="G621" s="122">
        <v>45443</v>
      </c>
      <c r="H621" s="121"/>
      <c r="I621" s="121" t="s">
        <v>895</v>
      </c>
      <c r="J621" s="121"/>
      <c r="K621" s="121" t="s">
        <v>446</v>
      </c>
      <c r="L621" s="121"/>
      <c r="M621" s="121" t="s">
        <v>311</v>
      </c>
      <c r="N621" s="121"/>
      <c r="O621" s="112">
        <v>350</v>
      </c>
      <c r="P621" s="1"/>
    </row>
    <row r="622" spans="1:16" ht="12.75" x14ac:dyDescent="0.2">
      <c r="A622" s="121"/>
      <c r="B622" s="121"/>
      <c r="C622" s="121"/>
      <c r="D622" s="121"/>
      <c r="E622" s="121" t="s">
        <v>307</v>
      </c>
      <c r="F622" s="121"/>
      <c r="G622" s="122">
        <v>45471</v>
      </c>
      <c r="H622" s="121"/>
      <c r="I622" s="121" t="s">
        <v>445</v>
      </c>
      <c r="J622" s="121"/>
      <c r="K622" s="121" t="s">
        <v>446</v>
      </c>
      <c r="L622" s="121"/>
      <c r="M622" s="121" t="s">
        <v>314</v>
      </c>
      <c r="N622" s="121"/>
      <c r="O622" s="112">
        <v>350</v>
      </c>
      <c r="P622" s="1"/>
    </row>
    <row r="623" spans="1:16" ht="12.75" x14ac:dyDescent="0.2">
      <c r="A623" s="121"/>
      <c r="B623" s="121"/>
      <c r="C623" s="121"/>
      <c r="D623" s="121"/>
      <c r="E623" s="121" t="s">
        <v>307</v>
      </c>
      <c r="F623" s="121"/>
      <c r="G623" s="122">
        <v>45504</v>
      </c>
      <c r="H623" s="121"/>
      <c r="I623" s="121" t="s">
        <v>1031</v>
      </c>
      <c r="J623" s="121"/>
      <c r="K623" s="121" t="s">
        <v>446</v>
      </c>
      <c r="L623" s="121"/>
      <c r="M623" s="121" t="s">
        <v>941</v>
      </c>
      <c r="N623" s="121"/>
      <c r="O623" s="112">
        <v>350</v>
      </c>
      <c r="P623" s="1"/>
    </row>
    <row r="624" spans="1:16" ht="12.75" x14ac:dyDescent="0.2">
      <c r="A624" s="121"/>
      <c r="B624" s="121"/>
      <c r="C624" s="121"/>
      <c r="D624" s="121"/>
      <c r="E624" s="121" t="s">
        <v>307</v>
      </c>
      <c r="F624" s="121"/>
      <c r="G624" s="122">
        <v>45331</v>
      </c>
      <c r="H624" s="121"/>
      <c r="I624" s="121" t="s">
        <v>896</v>
      </c>
      <c r="J624" s="121"/>
      <c r="K624" s="121" t="s">
        <v>207</v>
      </c>
      <c r="L624" s="121"/>
      <c r="M624" s="121" t="s">
        <v>462</v>
      </c>
      <c r="N624" s="121"/>
      <c r="O624" s="112">
        <v>100</v>
      </c>
      <c r="P624" s="1"/>
    </row>
    <row r="625" spans="1:16" ht="12.75" x14ac:dyDescent="0.2">
      <c r="A625" s="121"/>
      <c r="B625" s="121"/>
      <c r="C625" s="121"/>
      <c r="D625" s="121"/>
      <c r="E625" s="121" t="s">
        <v>307</v>
      </c>
      <c r="F625" s="121"/>
      <c r="G625" s="122">
        <v>45450</v>
      </c>
      <c r="H625" s="121"/>
      <c r="I625" s="121" t="s">
        <v>447</v>
      </c>
      <c r="J625" s="121"/>
      <c r="K625" s="121" t="s">
        <v>207</v>
      </c>
      <c r="L625" s="121"/>
      <c r="M625" s="121" t="s">
        <v>448</v>
      </c>
      <c r="N625" s="121"/>
      <c r="O625" s="112">
        <v>500</v>
      </c>
      <c r="P625" s="1"/>
    </row>
    <row r="626" spans="1:16" ht="12.75" x14ac:dyDescent="0.2">
      <c r="A626" s="121"/>
      <c r="B626" s="121"/>
      <c r="C626" s="121"/>
      <c r="D626" s="121"/>
      <c r="E626" s="121" t="s">
        <v>307</v>
      </c>
      <c r="F626" s="121"/>
      <c r="G626" s="122">
        <v>45502</v>
      </c>
      <c r="H626" s="121"/>
      <c r="I626" s="121" t="s">
        <v>1032</v>
      </c>
      <c r="J626" s="121"/>
      <c r="K626" s="121" t="s">
        <v>207</v>
      </c>
      <c r="L626" s="121"/>
      <c r="M626" s="121" t="s">
        <v>941</v>
      </c>
      <c r="N626" s="121"/>
      <c r="O626" s="112">
        <v>100</v>
      </c>
      <c r="P626" s="1"/>
    </row>
    <row r="627" spans="1:16" ht="12.75" x14ac:dyDescent="0.2">
      <c r="A627" s="121"/>
      <c r="B627" s="121"/>
      <c r="C627" s="121"/>
      <c r="D627" s="121"/>
      <c r="E627" s="121" t="s">
        <v>307</v>
      </c>
      <c r="F627" s="121"/>
      <c r="G627" s="122">
        <v>45534</v>
      </c>
      <c r="H627" s="121"/>
      <c r="I627" s="121" t="s">
        <v>1201</v>
      </c>
      <c r="J627" s="121"/>
      <c r="K627" s="121" t="s">
        <v>207</v>
      </c>
      <c r="L627" s="121"/>
      <c r="M627" s="121" t="s">
        <v>970</v>
      </c>
      <c r="N627" s="121"/>
      <c r="O627" s="112">
        <v>100</v>
      </c>
      <c r="P627" s="1"/>
    </row>
    <row r="628" spans="1:16" ht="12.75" x14ac:dyDescent="0.2">
      <c r="A628" s="121"/>
      <c r="B628" s="121"/>
      <c r="C628" s="121"/>
      <c r="D628" s="121"/>
      <c r="E628" s="121" t="s">
        <v>307</v>
      </c>
      <c r="F628" s="121"/>
      <c r="G628" s="122">
        <v>45329</v>
      </c>
      <c r="H628" s="121"/>
      <c r="I628" s="121" t="s">
        <v>897</v>
      </c>
      <c r="J628" s="121"/>
      <c r="K628" s="121" t="s">
        <v>898</v>
      </c>
      <c r="L628" s="121"/>
      <c r="M628" s="121" t="s">
        <v>589</v>
      </c>
      <c r="N628" s="121"/>
      <c r="O628" s="112">
        <v>3000</v>
      </c>
      <c r="P628" s="1"/>
    </row>
    <row r="629" spans="1:16" ht="12.75" x14ac:dyDescent="0.2">
      <c r="A629" s="121"/>
      <c r="B629" s="121"/>
      <c r="C629" s="121"/>
      <c r="D629" s="121"/>
      <c r="E629" s="121" t="s">
        <v>307</v>
      </c>
      <c r="F629" s="121"/>
      <c r="G629" s="122">
        <v>45363</v>
      </c>
      <c r="H629" s="121"/>
      <c r="I629" s="121" t="s">
        <v>899</v>
      </c>
      <c r="J629" s="121"/>
      <c r="K629" s="121" t="s">
        <v>898</v>
      </c>
      <c r="L629" s="121"/>
      <c r="M629" s="121" t="s">
        <v>420</v>
      </c>
      <c r="N629" s="121"/>
      <c r="O629" s="112">
        <v>1500</v>
      </c>
      <c r="P629" s="1"/>
    </row>
    <row r="630" spans="1:16" ht="12.75" x14ac:dyDescent="0.2">
      <c r="A630" s="121"/>
      <c r="B630" s="121"/>
      <c r="C630" s="121"/>
      <c r="D630" s="121"/>
      <c r="E630" s="121" t="s">
        <v>307</v>
      </c>
      <c r="F630" s="121"/>
      <c r="G630" s="122">
        <v>45412</v>
      </c>
      <c r="H630" s="121"/>
      <c r="I630" s="121" t="s">
        <v>900</v>
      </c>
      <c r="J630" s="121"/>
      <c r="K630" s="121" t="s">
        <v>898</v>
      </c>
      <c r="L630" s="121"/>
      <c r="M630" s="121" t="s">
        <v>322</v>
      </c>
      <c r="N630" s="121"/>
      <c r="O630" s="112">
        <v>1500</v>
      </c>
      <c r="P630" s="1"/>
    </row>
    <row r="631" spans="1:16" ht="12.75" x14ac:dyDescent="0.2">
      <c r="A631" s="121"/>
      <c r="B631" s="121"/>
      <c r="C631" s="121"/>
      <c r="D631" s="121"/>
      <c r="E631" s="121" t="s">
        <v>307</v>
      </c>
      <c r="F631" s="121"/>
      <c r="G631" s="122">
        <v>45442</v>
      </c>
      <c r="H631" s="121"/>
      <c r="I631" s="121" t="s">
        <v>901</v>
      </c>
      <c r="J631" s="121"/>
      <c r="K631" s="121" t="s">
        <v>898</v>
      </c>
      <c r="L631" s="121"/>
      <c r="M631" s="121" t="s">
        <v>311</v>
      </c>
      <c r="N631" s="121"/>
      <c r="O631" s="112">
        <v>1500</v>
      </c>
      <c r="P631" s="1"/>
    </row>
    <row r="632" spans="1:16" ht="12.75" x14ac:dyDescent="0.2">
      <c r="A632" s="121"/>
      <c r="B632" s="121"/>
      <c r="C632" s="121"/>
      <c r="D632" s="121"/>
      <c r="E632" s="121" t="s">
        <v>307</v>
      </c>
      <c r="F632" s="121"/>
      <c r="G632" s="122">
        <v>45476</v>
      </c>
      <c r="H632" s="121"/>
      <c r="I632" s="121" t="s">
        <v>1033</v>
      </c>
      <c r="J632" s="121"/>
      <c r="K632" s="121" t="s">
        <v>898</v>
      </c>
      <c r="L632" s="121"/>
      <c r="M632" s="121" t="s">
        <v>314</v>
      </c>
      <c r="N632" s="121"/>
      <c r="O632" s="112">
        <v>1500</v>
      </c>
      <c r="P632" s="1"/>
    </row>
    <row r="633" spans="1:16" ht="12.75" x14ac:dyDescent="0.2">
      <c r="A633" s="121"/>
      <c r="B633" s="121"/>
      <c r="C633" s="121"/>
      <c r="D633" s="121"/>
      <c r="E633" s="121" t="s">
        <v>307</v>
      </c>
      <c r="F633" s="121"/>
      <c r="G633" s="122">
        <v>45502</v>
      </c>
      <c r="H633" s="121"/>
      <c r="I633" s="121" t="s">
        <v>1034</v>
      </c>
      <c r="J633" s="121"/>
      <c r="K633" s="121" t="s">
        <v>898</v>
      </c>
      <c r="L633" s="121"/>
      <c r="M633" s="121" t="s">
        <v>941</v>
      </c>
      <c r="N633" s="121"/>
      <c r="O633" s="112">
        <v>1500</v>
      </c>
      <c r="P633" s="1"/>
    </row>
    <row r="634" spans="1:16" ht="12.75" x14ac:dyDescent="0.2">
      <c r="A634" s="121"/>
      <c r="B634" s="121"/>
      <c r="C634" s="121"/>
      <c r="D634" s="121"/>
      <c r="E634" s="121" t="s">
        <v>307</v>
      </c>
      <c r="F634" s="121"/>
      <c r="G634" s="122">
        <v>45532</v>
      </c>
      <c r="H634" s="121"/>
      <c r="I634" s="121" t="s">
        <v>1202</v>
      </c>
      <c r="J634" s="121"/>
      <c r="K634" s="121" t="s">
        <v>898</v>
      </c>
      <c r="L634" s="121"/>
      <c r="M634" s="121" t="s">
        <v>970</v>
      </c>
      <c r="N634" s="121"/>
      <c r="O634" s="112">
        <v>1500</v>
      </c>
      <c r="P634" s="1"/>
    </row>
    <row r="635" spans="1:16" ht="12.75" x14ac:dyDescent="0.2">
      <c r="A635" s="121"/>
      <c r="B635" s="121"/>
      <c r="C635" s="121"/>
      <c r="D635" s="121"/>
      <c r="E635" s="121" t="s">
        <v>307</v>
      </c>
      <c r="F635" s="121"/>
      <c r="G635" s="122">
        <v>45320</v>
      </c>
      <c r="H635" s="121"/>
      <c r="I635" s="121" t="s">
        <v>902</v>
      </c>
      <c r="J635" s="121"/>
      <c r="K635" s="121" t="s">
        <v>903</v>
      </c>
      <c r="L635" s="121"/>
      <c r="M635" s="121" t="s">
        <v>462</v>
      </c>
      <c r="N635" s="121"/>
      <c r="O635" s="112">
        <v>2250</v>
      </c>
      <c r="P635" s="1"/>
    </row>
    <row r="636" spans="1:16" ht="12.75" x14ac:dyDescent="0.2">
      <c r="A636" s="121"/>
      <c r="B636" s="121"/>
      <c r="C636" s="121"/>
      <c r="D636" s="121"/>
      <c r="E636" s="121" t="s">
        <v>307</v>
      </c>
      <c r="F636" s="121"/>
      <c r="G636" s="122">
        <v>45344</v>
      </c>
      <c r="H636" s="121"/>
      <c r="I636" s="121" t="s">
        <v>904</v>
      </c>
      <c r="J636" s="121"/>
      <c r="K636" s="121" t="s">
        <v>903</v>
      </c>
      <c r="L636" s="121"/>
      <c r="M636" s="121" t="s">
        <v>464</v>
      </c>
      <c r="N636" s="121"/>
      <c r="O636" s="112">
        <v>2250</v>
      </c>
      <c r="P636" s="1"/>
    </row>
    <row r="637" spans="1:16" ht="12.75" x14ac:dyDescent="0.2">
      <c r="A637" s="121"/>
      <c r="B637" s="121"/>
      <c r="C637" s="121"/>
      <c r="D637" s="121"/>
      <c r="E637" s="121" t="s">
        <v>307</v>
      </c>
      <c r="F637" s="121"/>
      <c r="G637" s="122">
        <v>45369</v>
      </c>
      <c r="H637" s="121"/>
      <c r="I637" s="121" t="s">
        <v>905</v>
      </c>
      <c r="J637" s="121"/>
      <c r="K637" s="121" t="s">
        <v>903</v>
      </c>
      <c r="L637" s="121"/>
      <c r="M637" s="121" t="s">
        <v>420</v>
      </c>
      <c r="N637" s="121"/>
      <c r="O637" s="112">
        <v>2250</v>
      </c>
      <c r="P637" s="1"/>
    </row>
    <row r="638" spans="1:16" ht="12.75" x14ac:dyDescent="0.2">
      <c r="A638" s="121"/>
      <c r="B638" s="121"/>
      <c r="C638" s="121"/>
      <c r="D638" s="121"/>
      <c r="E638" s="121" t="s">
        <v>307</v>
      </c>
      <c r="F638" s="121"/>
      <c r="G638" s="122">
        <v>45411</v>
      </c>
      <c r="H638" s="121"/>
      <c r="I638" s="121" t="s">
        <v>906</v>
      </c>
      <c r="J638" s="121"/>
      <c r="K638" s="121" t="s">
        <v>903</v>
      </c>
      <c r="L638" s="121"/>
      <c r="M638" s="121" t="s">
        <v>322</v>
      </c>
      <c r="N638" s="121"/>
      <c r="O638" s="112">
        <v>2250</v>
      </c>
      <c r="P638" s="1"/>
    </row>
    <row r="639" spans="1:16" ht="12.75" x14ac:dyDescent="0.2">
      <c r="A639" s="121"/>
      <c r="B639" s="121"/>
      <c r="C639" s="121"/>
      <c r="D639" s="121"/>
      <c r="E639" s="121" t="s">
        <v>307</v>
      </c>
      <c r="F639" s="121"/>
      <c r="G639" s="122">
        <v>45442</v>
      </c>
      <c r="H639" s="121"/>
      <c r="I639" s="121" t="s">
        <v>907</v>
      </c>
      <c r="J639" s="121"/>
      <c r="K639" s="121" t="s">
        <v>903</v>
      </c>
      <c r="L639" s="121"/>
      <c r="M639" s="121" t="s">
        <v>311</v>
      </c>
      <c r="N639" s="121"/>
      <c r="O639" s="112">
        <v>2250</v>
      </c>
      <c r="P639" s="1"/>
    </row>
    <row r="640" spans="1:16" ht="12.75" x14ac:dyDescent="0.2">
      <c r="A640" s="121"/>
      <c r="B640" s="121"/>
      <c r="C640" s="121"/>
      <c r="D640" s="121"/>
      <c r="E640" s="121" t="s">
        <v>307</v>
      </c>
      <c r="F640" s="121"/>
      <c r="G640" s="122">
        <v>45499</v>
      </c>
      <c r="H640" s="121"/>
      <c r="I640" s="121" t="s">
        <v>1035</v>
      </c>
      <c r="J640" s="121"/>
      <c r="K640" s="121" t="s">
        <v>903</v>
      </c>
      <c r="L640" s="121"/>
      <c r="M640" s="121" t="s">
        <v>314</v>
      </c>
      <c r="N640" s="121"/>
      <c r="O640" s="112">
        <v>2250</v>
      </c>
      <c r="P640" s="1"/>
    </row>
    <row r="641" spans="1:16" ht="12.75" x14ac:dyDescent="0.2">
      <c r="A641" s="121"/>
      <c r="B641" s="121"/>
      <c r="C641" s="121"/>
      <c r="D641" s="121"/>
      <c r="E641" s="121" t="s">
        <v>307</v>
      </c>
      <c r="F641" s="121"/>
      <c r="G641" s="122">
        <v>45525</v>
      </c>
      <c r="H641" s="121"/>
      <c r="I641" s="121" t="s">
        <v>1203</v>
      </c>
      <c r="J641" s="121"/>
      <c r="K641" s="121" t="s">
        <v>903</v>
      </c>
      <c r="L641" s="121"/>
      <c r="M641" s="121" t="s">
        <v>941</v>
      </c>
      <c r="N641" s="121"/>
      <c r="O641" s="112">
        <v>2250</v>
      </c>
      <c r="P641" s="1"/>
    </row>
    <row r="642" spans="1:16" ht="12.75" x14ac:dyDescent="0.2">
      <c r="A642" s="121"/>
      <c r="B642" s="121"/>
      <c r="C642" s="121"/>
      <c r="D642" s="121"/>
      <c r="E642" s="121" t="s">
        <v>307</v>
      </c>
      <c r="F642" s="121"/>
      <c r="G642" s="122">
        <v>45309</v>
      </c>
      <c r="H642" s="121"/>
      <c r="I642" s="121" t="s">
        <v>908</v>
      </c>
      <c r="J642" s="121"/>
      <c r="K642" s="121" t="s">
        <v>450</v>
      </c>
      <c r="L642" s="121"/>
      <c r="M642" s="121" t="s">
        <v>462</v>
      </c>
      <c r="N642" s="121"/>
      <c r="O642" s="112">
        <v>3102</v>
      </c>
      <c r="P642" s="1"/>
    </row>
    <row r="643" spans="1:16" ht="12.75" x14ac:dyDescent="0.2">
      <c r="A643" s="121"/>
      <c r="B643" s="121"/>
      <c r="C643" s="121"/>
      <c r="D643" s="121"/>
      <c r="E643" s="121" t="s">
        <v>307</v>
      </c>
      <c r="F643" s="121"/>
      <c r="G643" s="122">
        <v>45338</v>
      </c>
      <c r="H643" s="121"/>
      <c r="I643" s="121" t="s">
        <v>909</v>
      </c>
      <c r="J643" s="121"/>
      <c r="K643" s="121" t="s">
        <v>450</v>
      </c>
      <c r="L643" s="121"/>
      <c r="M643" s="121" t="s">
        <v>464</v>
      </c>
      <c r="N643" s="121"/>
      <c r="O643" s="112">
        <v>2059</v>
      </c>
      <c r="P643" s="1"/>
    </row>
    <row r="644" spans="1:16" ht="12.75" x14ac:dyDescent="0.2">
      <c r="A644" s="121"/>
      <c r="B644" s="121"/>
      <c r="C644" s="121"/>
      <c r="D644" s="121"/>
      <c r="E644" s="121" t="s">
        <v>307</v>
      </c>
      <c r="F644" s="121"/>
      <c r="G644" s="122">
        <v>45369</v>
      </c>
      <c r="H644" s="121"/>
      <c r="I644" s="121" t="s">
        <v>910</v>
      </c>
      <c r="J644" s="121"/>
      <c r="K644" s="121" t="s">
        <v>450</v>
      </c>
      <c r="L644" s="121"/>
      <c r="M644" s="121" t="s">
        <v>1106</v>
      </c>
      <c r="N644" s="121"/>
      <c r="O644" s="112">
        <v>3469.2</v>
      </c>
      <c r="P644" s="1"/>
    </row>
    <row r="645" spans="1:16" ht="12.75" x14ac:dyDescent="0.2">
      <c r="A645" s="121"/>
      <c r="B645" s="121"/>
      <c r="C645" s="121"/>
      <c r="D645" s="121"/>
      <c r="E645" s="121" t="s">
        <v>307</v>
      </c>
      <c r="F645" s="121"/>
      <c r="G645" s="122">
        <v>45399</v>
      </c>
      <c r="H645" s="121"/>
      <c r="I645" s="121" t="s">
        <v>911</v>
      </c>
      <c r="J645" s="121"/>
      <c r="K645" s="121" t="s">
        <v>450</v>
      </c>
      <c r="L645" s="121"/>
      <c r="M645" s="121" t="s">
        <v>322</v>
      </c>
      <c r="N645" s="121"/>
      <c r="O645" s="112">
        <v>1180.8</v>
      </c>
      <c r="P645" s="1"/>
    </row>
    <row r="646" spans="1:16" ht="12.75" x14ac:dyDescent="0.2">
      <c r="A646" s="121"/>
      <c r="B646" s="121"/>
      <c r="C646" s="121"/>
      <c r="D646" s="121"/>
      <c r="E646" s="121" t="s">
        <v>307</v>
      </c>
      <c r="F646" s="121"/>
      <c r="G646" s="122">
        <v>45433</v>
      </c>
      <c r="H646" s="121"/>
      <c r="I646" s="121" t="s">
        <v>912</v>
      </c>
      <c r="J646" s="121"/>
      <c r="K646" s="121" t="s">
        <v>450</v>
      </c>
      <c r="L646" s="121"/>
      <c r="M646" s="121" t="s">
        <v>311</v>
      </c>
      <c r="N646" s="121"/>
      <c r="O646" s="112">
        <v>977.68</v>
      </c>
      <c r="P646" s="1"/>
    </row>
    <row r="647" spans="1:16" ht="12.75" x14ac:dyDescent="0.2">
      <c r="A647" s="121"/>
      <c r="B647" s="121"/>
      <c r="C647" s="121"/>
      <c r="D647" s="121"/>
      <c r="E647" s="121" t="s">
        <v>307</v>
      </c>
      <c r="F647" s="121"/>
      <c r="G647" s="122">
        <v>45461</v>
      </c>
      <c r="H647" s="121"/>
      <c r="I647" s="121" t="s">
        <v>449</v>
      </c>
      <c r="J647" s="121"/>
      <c r="K647" s="121" t="s">
        <v>450</v>
      </c>
      <c r="L647" s="121"/>
      <c r="M647" s="121" t="s">
        <v>314</v>
      </c>
      <c r="N647" s="121"/>
      <c r="O647" s="112">
        <v>914.73</v>
      </c>
      <c r="P647" s="1"/>
    </row>
    <row r="648" spans="1:16" ht="12.75" x14ac:dyDescent="0.2">
      <c r="A648" s="121"/>
      <c r="B648" s="121"/>
      <c r="C648" s="121"/>
      <c r="D648" s="121"/>
      <c r="E648" s="121" t="s">
        <v>307</v>
      </c>
      <c r="F648" s="121"/>
      <c r="G648" s="122">
        <v>45489</v>
      </c>
      <c r="H648" s="121"/>
      <c r="I648" s="121" t="s">
        <v>1036</v>
      </c>
      <c r="J648" s="121"/>
      <c r="K648" s="121" t="s">
        <v>450</v>
      </c>
      <c r="L648" s="121"/>
      <c r="M648" s="121" t="s">
        <v>941</v>
      </c>
      <c r="N648" s="121"/>
      <c r="O648" s="112">
        <v>1137.95</v>
      </c>
      <c r="P648" s="1"/>
    </row>
    <row r="649" spans="1:16" ht="12.75" x14ac:dyDescent="0.2">
      <c r="A649" s="121"/>
      <c r="B649" s="121"/>
      <c r="C649" s="121"/>
      <c r="D649" s="121"/>
      <c r="E649" s="121" t="s">
        <v>307</v>
      </c>
      <c r="F649" s="121"/>
      <c r="G649" s="122">
        <v>45520</v>
      </c>
      <c r="H649" s="121"/>
      <c r="I649" s="121" t="s">
        <v>1204</v>
      </c>
      <c r="J649" s="121"/>
      <c r="K649" s="121" t="s">
        <v>450</v>
      </c>
      <c r="L649" s="121"/>
      <c r="M649" s="121" t="s">
        <v>970</v>
      </c>
      <c r="N649" s="121"/>
      <c r="O649" s="112">
        <v>826.43</v>
      </c>
      <c r="P649" s="1"/>
    </row>
    <row r="650" spans="1:16" ht="12.75" x14ac:dyDescent="0.2">
      <c r="A650" s="121"/>
      <c r="B650" s="121"/>
      <c r="C650" s="121"/>
      <c r="D650" s="121"/>
      <c r="E650" s="121" t="s">
        <v>307</v>
      </c>
      <c r="F650" s="121"/>
      <c r="G650" s="122">
        <v>45323</v>
      </c>
      <c r="H650" s="121"/>
      <c r="I650" s="121" t="s">
        <v>913</v>
      </c>
      <c r="J650" s="121"/>
      <c r="K650" s="121" t="s">
        <v>452</v>
      </c>
      <c r="L650" s="121"/>
      <c r="M650" s="121" t="s">
        <v>462</v>
      </c>
      <c r="N650" s="121"/>
      <c r="O650" s="112">
        <v>916.67</v>
      </c>
      <c r="P650" s="1"/>
    </row>
    <row r="651" spans="1:16" ht="12.75" x14ac:dyDescent="0.2">
      <c r="A651" s="121"/>
      <c r="B651" s="121"/>
      <c r="C651" s="121"/>
      <c r="D651" s="121"/>
      <c r="E651" s="121" t="s">
        <v>307</v>
      </c>
      <c r="F651" s="121"/>
      <c r="G651" s="122">
        <v>45350</v>
      </c>
      <c r="H651" s="121"/>
      <c r="I651" s="121" t="s">
        <v>914</v>
      </c>
      <c r="J651" s="121"/>
      <c r="K651" s="121" t="s">
        <v>452</v>
      </c>
      <c r="L651" s="121"/>
      <c r="M651" s="121" t="s">
        <v>464</v>
      </c>
      <c r="N651" s="121"/>
      <c r="O651" s="112">
        <v>916.67</v>
      </c>
      <c r="P651" s="1"/>
    </row>
    <row r="652" spans="1:16" ht="12.75" x14ac:dyDescent="0.2">
      <c r="A652" s="121"/>
      <c r="B652" s="121"/>
      <c r="C652" s="121"/>
      <c r="D652" s="121"/>
      <c r="E652" s="121" t="s">
        <v>307</v>
      </c>
      <c r="F652" s="121"/>
      <c r="G652" s="122">
        <v>45380</v>
      </c>
      <c r="H652" s="121"/>
      <c r="I652" s="121" t="s">
        <v>915</v>
      </c>
      <c r="J652" s="121"/>
      <c r="K652" s="121" t="s">
        <v>452</v>
      </c>
      <c r="L652" s="121"/>
      <c r="M652" s="121" t="s">
        <v>420</v>
      </c>
      <c r="N652" s="121"/>
      <c r="O652" s="112">
        <v>916.67</v>
      </c>
      <c r="P652" s="1"/>
    </row>
    <row r="653" spans="1:16" ht="12.75" x14ac:dyDescent="0.2">
      <c r="A653" s="121"/>
      <c r="B653" s="121"/>
      <c r="C653" s="121"/>
      <c r="D653" s="121"/>
      <c r="E653" s="121" t="s">
        <v>307</v>
      </c>
      <c r="F653" s="121"/>
      <c r="G653" s="122">
        <v>45406</v>
      </c>
      <c r="H653" s="121"/>
      <c r="I653" s="121" t="s">
        <v>916</v>
      </c>
      <c r="J653" s="121"/>
      <c r="K653" s="121" t="s">
        <v>452</v>
      </c>
      <c r="L653" s="121"/>
      <c r="M653" s="121" t="s">
        <v>322</v>
      </c>
      <c r="N653" s="121"/>
      <c r="O653" s="112">
        <v>916.67</v>
      </c>
      <c r="P653" s="1"/>
    </row>
    <row r="654" spans="1:16" ht="12.75" x14ac:dyDescent="0.2">
      <c r="A654" s="121"/>
      <c r="B654" s="121"/>
      <c r="C654" s="121"/>
      <c r="D654" s="121"/>
      <c r="E654" s="121" t="s">
        <v>307</v>
      </c>
      <c r="F654" s="121"/>
      <c r="G654" s="122">
        <v>45440</v>
      </c>
      <c r="H654" s="121"/>
      <c r="I654" s="121" t="s">
        <v>917</v>
      </c>
      <c r="J654" s="121"/>
      <c r="K654" s="121" t="s">
        <v>452</v>
      </c>
      <c r="L654" s="121"/>
      <c r="M654" s="121" t="s">
        <v>311</v>
      </c>
      <c r="N654" s="121"/>
      <c r="O654" s="112">
        <v>916.67</v>
      </c>
      <c r="P654" s="1"/>
    </row>
    <row r="655" spans="1:16" ht="12.75" x14ac:dyDescent="0.2">
      <c r="A655" s="121"/>
      <c r="B655" s="121"/>
      <c r="C655" s="121"/>
      <c r="D655" s="121"/>
      <c r="E655" s="121" t="s">
        <v>307</v>
      </c>
      <c r="F655" s="121"/>
      <c r="G655" s="122">
        <v>45456</v>
      </c>
      <c r="H655" s="121"/>
      <c r="I655" s="121" t="s">
        <v>451</v>
      </c>
      <c r="J655" s="121"/>
      <c r="K655" s="121" t="s">
        <v>452</v>
      </c>
      <c r="L655" s="121"/>
      <c r="M655" s="121" t="s">
        <v>314</v>
      </c>
      <c r="N655" s="121"/>
      <c r="O655" s="112">
        <v>916.67</v>
      </c>
      <c r="P655" s="1"/>
    </row>
    <row r="656" spans="1:16" ht="12.75" x14ac:dyDescent="0.2">
      <c r="A656" s="121"/>
      <c r="B656" s="121"/>
      <c r="C656" s="121"/>
      <c r="D656" s="121"/>
      <c r="E656" s="121" t="s">
        <v>307</v>
      </c>
      <c r="F656" s="121"/>
      <c r="G656" s="122">
        <v>45504</v>
      </c>
      <c r="H656" s="121"/>
      <c r="I656" s="121" t="s">
        <v>1037</v>
      </c>
      <c r="J656" s="121"/>
      <c r="K656" s="121" t="s">
        <v>452</v>
      </c>
      <c r="L656" s="121"/>
      <c r="M656" s="121" t="s">
        <v>941</v>
      </c>
      <c r="N656" s="121"/>
      <c r="O656" s="112">
        <v>916.67</v>
      </c>
      <c r="P656" s="1"/>
    </row>
    <row r="657" spans="1:16" ht="12.75" x14ac:dyDescent="0.2">
      <c r="A657" s="121"/>
      <c r="B657" s="121"/>
      <c r="C657" s="121"/>
      <c r="D657" s="121"/>
      <c r="E657" s="121" t="s">
        <v>307</v>
      </c>
      <c r="F657" s="121"/>
      <c r="G657" s="122">
        <v>45531</v>
      </c>
      <c r="H657" s="121"/>
      <c r="I657" s="121" t="s">
        <v>1205</v>
      </c>
      <c r="J657" s="121"/>
      <c r="K657" s="121" t="s">
        <v>452</v>
      </c>
      <c r="L657" s="121"/>
      <c r="M657" s="121" t="s">
        <v>970</v>
      </c>
      <c r="N657" s="121"/>
      <c r="O657" s="112">
        <v>916.67</v>
      </c>
      <c r="P657" s="1"/>
    </row>
    <row r="658" spans="1:16" ht="12.75" x14ac:dyDescent="0.2">
      <c r="A658" s="121"/>
      <c r="B658" s="121"/>
      <c r="C658" s="121"/>
      <c r="D658" s="121"/>
      <c r="E658" s="121" t="s">
        <v>307</v>
      </c>
      <c r="F658" s="121"/>
      <c r="G658" s="122">
        <v>45313</v>
      </c>
      <c r="H658" s="121"/>
      <c r="I658" s="121" t="s">
        <v>918</v>
      </c>
      <c r="J658" s="121"/>
      <c r="K658" s="121" t="s">
        <v>244</v>
      </c>
      <c r="L658" s="121"/>
      <c r="M658" s="121" t="s">
        <v>854</v>
      </c>
      <c r="N658" s="121"/>
      <c r="O658" s="112">
        <v>10</v>
      </c>
      <c r="P658" s="1"/>
    </row>
    <row r="659" spans="1:16" ht="12.75" x14ac:dyDescent="0.2">
      <c r="A659" s="121"/>
      <c r="B659" s="121"/>
      <c r="C659" s="121"/>
      <c r="D659" s="121"/>
      <c r="E659" s="121" t="s">
        <v>307</v>
      </c>
      <c r="F659" s="121"/>
      <c r="G659" s="122">
        <v>45329</v>
      </c>
      <c r="H659" s="121"/>
      <c r="I659" s="121" t="s">
        <v>919</v>
      </c>
      <c r="J659" s="121"/>
      <c r="K659" s="121" t="s">
        <v>244</v>
      </c>
      <c r="L659" s="121"/>
      <c r="M659" s="121" t="s">
        <v>854</v>
      </c>
      <c r="N659" s="121"/>
      <c r="O659" s="112">
        <v>720</v>
      </c>
      <c r="P659" s="1"/>
    </row>
    <row r="660" spans="1:16" ht="12.75" x14ac:dyDescent="0.2">
      <c r="A660" s="121"/>
      <c r="B660" s="121"/>
      <c r="C660" s="121"/>
      <c r="D660" s="121"/>
      <c r="E660" s="121" t="s">
        <v>307</v>
      </c>
      <c r="F660" s="121"/>
      <c r="G660" s="122">
        <v>45433</v>
      </c>
      <c r="H660" s="121"/>
      <c r="I660" s="121" t="s">
        <v>920</v>
      </c>
      <c r="J660" s="121"/>
      <c r="K660" s="121" t="s">
        <v>244</v>
      </c>
      <c r="L660" s="121"/>
      <c r="M660" s="121" t="s">
        <v>921</v>
      </c>
      <c r="N660" s="121"/>
      <c r="O660" s="112">
        <v>500</v>
      </c>
      <c r="P660" s="1"/>
    </row>
    <row r="661" spans="1:16" ht="12.75" x14ac:dyDescent="0.2">
      <c r="A661" s="121"/>
      <c r="B661" s="121"/>
      <c r="C661" s="121"/>
      <c r="D661" s="121"/>
      <c r="E661" s="121" t="s">
        <v>307</v>
      </c>
      <c r="F661" s="121"/>
      <c r="G661" s="122">
        <v>45313</v>
      </c>
      <c r="H661" s="121"/>
      <c r="I661" s="121" t="s">
        <v>922</v>
      </c>
      <c r="J661" s="121"/>
      <c r="K661" s="121" t="s">
        <v>454</v>
      </c>
      <c r="L661" s="121"/>
      <c r="M661" s="121" t="s">
        <v>462</v>
      </c>
      <c r="N661" s="121"/>
      <c r="O661" s="112">
        <v>350</v>
      </c>
      <c r="P661" s="1"/>
    </row>
    <row r="662" spans="1:16" ht="12.75" x14ac:dyDescent="0.2">
      <c r="A662" s="121"/>
      <c r="B662" s="121"/>
      <c r="C662" s="121"/>
      <c r="D662" s="121"/>
      <c r="E662" s="121" t="s">
        <v>307</v>
      </c>
      <c r="F662" s="121"/>
      <c r="G662" s="122">
        <v>45342</v>
      </c>
      <c r="H662" s="121"/>
      <c r="I662" s="121" t="s">
        <v>923</v>
      </c>
      <c r="J662" s="121"/>
      <c r="K662" s="121" t="s">
        <v>454</v>
      </c>
      <c r="L662" s="121"/>
      <c r="M662" s="121" t="s">
        <v>464</v>
      </c>
      <c r="N662" s="121"/>
      <c r="O662" s="112">
        <v>350</v>
      </c>
      <c r="P662" s="1"/>
    </row>
    <row r="663" spans="1:16" ht="12.75" x14ac:dyDescent="0.2">
      <c r="A663" s="121"/>
      <c r="B663" s="121"/>
      <c r="C663" s="121"/>
      <c r="D663" s="121"/>
      <c r="E663" s="121" t="s">
        <v>307</v>
      </c>
      <c r="F663" s="121"/>
      <c r="G663" s="122">
        <v>45376</v>
      </c>
      <c r="H663" s="121"/>
      <c r="I663" s="121" t="s">
        <v>924</v>
      </c>
      <c r="J663" s="121"/>
      <c r="K663" s="121" t="s">
        <v>454</v>
      </c>
      <c r="L663" s="121"/>
      <c r="M663" s="121" t="s">
        <v>420</v>
      </c>
      <c r="N663" s="121"/>
      <c r="O663" s="112">
        <v>350</v>
      </c>
      <c r="P663" s="1"/>
    </row>
    <row r="664" spans="1:16" ht="12.75" x14ac:dyDescent="0.2">
      <c r="A664" s="121"/>
      <c r="B664" s="121"/>
      <c r="C664" s="121"/>
      <c r="D664" s="121"/>
      <c r="E664" s="121" t="s">
        <v>307</v>
      </c>
      <c r="F664" s="121"/>
      <c r="G664" s="122">
        <v>45406</v>
      </c>
      <c r="H664" s="121"/>
      <c r="I664" s="121" t="s">
        <v>925</v>
      </c>
      <c r="J664" s="121"/>
      <c r="K664" s="121" t="s">
        <v>454</v>
      </c>
      <c r="L664" s="121"/>
      <c r="M664" s="121" t="s">
        <v>322</v>
      </c>
      <c r="N664" s="121"/>
      <c r="O664" s="112">
        <v>350</v>
      </c>
      <c r="P664" s="1"/>
    </row>
    <row r="665" spans="1:16" ht="12.75" x14ac:dyDescent="0.2">
      <c r="A665" s="121"/>
      <c r="B665" s="121"/>
      <c r="C665" s="121"/>
      <c r="D665" s="121"/>
      <c r="E665" s="121" t="s">
        <v>307</v>
      </c>
      <c r="F665" s="121"/>
      <c r="G665" s="122">
        <v>45433</v>
      </c>
      <c r="H665" s="121"/>
      <c r="I665" s="121" t="s">
        <v>926</v>
      </c>
      <c r="J665" s="121"/>
      <c r="K665" s="121" t="s">
        <v>454</v>
      </c>
      <c r="L665" s="121"/>
      <c r="M665" s="121" t="s">
        <v>311</v>
      </c>
      <c r="N665" s="121"/>
      <c r="O665" s="112">
        <v>350</v>
      </c>
      <c r="P665" s="1"/>
    </row>
    <row r="666" spans="1:16" ht="12.75" x14ac:dyDescent="0.2">
      <c r="A666" s="121"/>
      <c r="B666" s="121"/>
      <c r="C666" s="121"/>
      <c r="D666" s="121"/>
      <c r="E666" s="121" t="s">
        <v>307</v>
      </c>
      <c r="F666" s="121"/>
      <c r="G666" s="122">
        <v>45464</v>
      </c>
      <c r="H666" s="121"/>
      <c r="I666" s="121" t="s">
        <v>453</v>
      </c>
      <c r="J666" s="121"/>
      <c r="K666" s="121" t="s">
        <v>454</v>
      </c>
      <c r="L666" s="121"/>
      <c r="M666" s="121" t="s">
        <v>314</v>
      </c>
      <c r="N666" s="121"/>
      <c r="O666" s="112">
        <v>350</v>
      </c>
      <c r="P666" s="1"/>
    </row>
    <row r="667" spans="1:16" ht="12.75" x14ac:dyDescent="0.2">
      <c r="A667" s="121"/>
      <c r="B667" s="121"/>
      <c r="C667" s="121"/>
      <c r="D667" s="121"/>
      <c r="E667" s="121" t="s">
        <v>307</v>
      </c>
      <c r="F667" s="121"/>
      <c r="G667" s="122">
        <v>45491</v>
      </c>
      <c r="H667" s="121"/>
      <c r="I667" s="121" t="s">
        <v>1038</v>
      </c>
      <c r="J667" s="121"/>
      <c r="K667" s="121" t="s">
        <v>454</v>
      </c>
      <c r="L667" s="121"/>
      <c r="M667" s="121" t="s">
        <v>941</v>
      </c>
      <c r="N667" s="121"/>
      <c r="O667" s="112">
        <v>350</v>
      </c>
      <c r="P667" s="1"/>
    </row>
    <row r="668" spans="1:16" ht="12.75" x14ac:dyDescent="0.2">
      <c r="A668" s="121"/>
      <c r="B668" s="121"/>
      <c r="C668" s="121"/>
      <c r="D668" s="121"/>
      <c r="E668" s="121" t="s">
        <v>307</v>
      </c>
      <c r="F668" s="121"/>
      <c r="G668" s="122">
        <v>45527</v>
      </c>
      <c r="H668" s="121"/>
      <c r="I668" s="121" t="s">
        <v>1206</v>
      </c>
      <c r="J668" s="121"/>
      <c r="K668" s="121" t="s">
        <v>454</v>
      </c>
      <c r="L668" s="121"/>
      <c r="M668" s="121" t="s">
        <v>970</v>
      </c>
      <c r="N668" s="121"/>
      <c r="O668" s="112">
        <v>350</v>
      </c>
      <c r="P668" s="1"/>
    </row>
    <row r="669" spans="1:16" ht="12.75" x14ac:dyDescent="0.2">
      <c r="A669" s="121"/>
      <c r="B669" s="121"/>
      <c r="C669" s="121"/>
      <c r="D669" s="121"/>
      <c r="E669" s="121" t="s">
        <v>307</v>
      </c>
      <c r="F669" s="121"/>
      <c r="G669" s="122">
        <v>45301</v>
      </c>
      <c r="H669" s="121"/>
      <c r="I669" s="121" t="s">
        <v>927</v>
      </c>
      <c r="J669" s="121"/>
      <c r="K669" s="121" t="s">
        <v>928</v>
      </c>
      <c r="L669" s="121"/>
      <c r="M669" s="121" t="s">
        <v>505</v>
      </c>
      <c r="N669" s="121"/>
      <c r="O669" s="112">
        <v>625.02</v>
      </c>
      <c r="P669" s="1"/>
    </row>
    <row r="670" spans="1:16" ht="12.75" x14ac:dyDescent="0.2">
      <c r="A670" s="121"/>
      <c r="B670" s="121"/>
      <c r="C670" s="121"/>
      <c r="D670" s="121"/>
      <c r="E670" s="121" t="s">
        <v>307</v>
      </c>
      <c r="F670" s="121"/>
      <c r="G670" s="122">
        <v>45387</v>
      </c>
      <c r="H670" s="121"/>
      <c r="I670" s="121" t="s">
        <v>929</v>
      </c>
      <c r="J670" s="121"/>
      <c r="K670" s="121" t="s">
        <v>928</v>
      </c>
      <c r="L670" s="121"/>
      <c r="M670" s="121" t="s">
        <v>612</v>
      </c>
      <c r="N670" s="121"/>
      <c r="O670" s="112">
        <v>625.02</v>
      </c>
      <c r="P670" s="1"/>
    </row>
    <row r="671" spans="1:16" ht="12.75" x14ac:dyDescent="0.2">
      <c r="A671" s="121"/>
      <c r="B671" s="121"/>
      <c r="C671" s="121"/>
      <c r="D671" s="121"/>
      <c r="E671" s="121" t="s">
        <v>307</v>
      </c>
      <c r="F671" s="121"/>
      <c r="G671" s="122">
        <v>45482</v>
      </c>
      <c r="H671" s="121"/>
      <c r="I671" s="121" t="s">
        <v>1039</v>
      </c>
      <c r="J671" s="121"/>
      <c r="K671" s="121" t="s">
        <v>928</v>
      </c>
      <c r="L671" s="121"/>
      <c r="M671" s="121" t="s">
        <v>987</v>
      </c>
      <c r="N671" s="121"/>
      <c r="O671" s="112">
        <v>625.02</v>
      </c>
      <c r="P671" s="1"/>
    </row>
    <row r="672" spans="1:16" ht="12.75" x14ac:dyDescent="0.2">
      <c r="A672" s="121"/>
      <c r="B672" s="121"/>
      <c r="C672" s="121"/>
      <c r="D672" s="121"/>
      <c r="E672" s="121" t="s">
        <v>307</v>
      </c>
      <c r="F672" s="121"/>
      <c r="G672" s="122">
        <v>45342</v>
      </c>
      <c r="H672" s="121"/>
      <c r="I672" s="121" t="s">
        <v>930</v>
      </c>
      <c r="J672" s="121"/>
      <c r="K672" s="121" t="s">
        <v>456</v>
      </c>
      <c r="L672" s="121"/>
      <c r="M672" s="121" t="s">
        <v>462</v>
      </c>
      <c r="N672" s="121"/>
      <c r="O672" s="112">
        <v>1666.67</v>
      </c>
      <c r="P672" s="1"/>
    </row>
    <row r="673" spans="1:16" ht="12.75" x14ac:dyDescent="0.2">
      <c r="A673" s="121"/>
      <c r="B673" s="121"/>
      <c r="C673" s="121"/>
      <c r="D673" s="121"/>
      <c r="E673" s="121" t="s">
        <v>307</v>
      </c>
      <c r="F673" s="121"/>
      <c r="G673" s="122">
        <v>45369</v>
      </c>
      <c r="H673" s="121"/>
      <c r="I673" s="121" t="s">
        <v>931</v>
      </c>
      <c r="J673" s="121"/>
      <c r="K673" s="121" t="s">
        <v>456</v>
      </c>
      <c r="L673" s="121"/>
      <c r="M673" s="121" t="s">
        <v>464</v>
      </c>
      <c r="N673" s="121"/>
      <c r="O673" s="112">
        <v>1666.67</v>
      </c>
      <c r="P673" s="1"/>
    </row>
    <row r="674" spans="1:16" ht="12.75" x14ac:dyDescent="0.2">
      <c r="A674" s="121"/>
      <c r="B674" s="121"/>
      <c r="C674" s="121"/>
      <c r="D674" s="121"/>
      <c r="E674" s="121" t="s">
        <v>307</v>
      </c>
      <c r="F674" s="121"/>
      <c r="G674" s="122">
        <v>45400</v>
      </c>
      <c r="H674" s="121"/>
      <c r="I674" s="121" t="s">
        <v>932</v>
      </c>
      <c r="J674" s="121"/>
      <c r="K674" s="121" t="s">
        <v>456</v>
      </c>
      <c r="L674" s="121"/>
      <c r="M674" s="121" t="s">
        <v>420</v>
      </c>
      <c r="N674" s="121"/>
      <c r="O674" s="112">
        <v>1666.67</v>
      </c>
      <c r="P674" s="1"/>
    </row>
    <row r="675" spans="1:16" ht="12.75" x14ac:dyDescent="0.2">
      <c r="A675" s="121"/>
      <c r="B675" s="121"/>
      <c r="C675" s="121"/>
      <c r="D675" s="121"/>
      <c r="E675" s="121" t="s">
        <v>307</v>
      </c>
      <c r="F675" s="121"/>
      <c r="G675" s="122">
        <v>45433</v>
      </c>
      <c r="H675" s="121"/>
      <c r="I675" s="121" t="s">
        <v>933</v>
      </c>
      <c r="J675" s="121"/>
      <c r="K675" s="121" t="s">
        <v>456</v>
      </c>
      <c r="L675" s="121"/>
      <c r="M675" s="121" t="s">
        <v>322</v>
      </c>
      <c r="N675" s="121"/>
      <c r="O675" s="112">
        <v>1666.67</v>
      </c>
      <c r="P675" s="1"/>
    </row>
    <row r="676" spans="1:16" ht="12.75" x14ac:dyDescent="0.2">
      <c r="A676" s="121"/>
      <c r="B676" s="121"/>
      <c r="C676" s="121"/>
      <c r="D676" s="121"/>
      <c r="E676" s="121" t="s">
        <v>307</v>
      </c>
      <c r="F676" s="121"/>
      <c r="G676" s="122">
        <v>45461</v>
      </c>
      <c r="H676" s="121"/>
      <c r="I676" s="121" t="s">
        <v>455</v>
      </c>
      <c r="J676" s="121"/>
      <c r="K676" s="121" t="s">
        <v>456</v>
      </c>
      <c r="L676" s="121"/>
      <c r="M676" s="121" t="s">
        <v>311</v>
      </c>
      <c r="N676" s="121"/>
      <c r="O676" s="112">
        <v>1666.67</v>
      </c>
      <c r="P676" s="1"/>
    </row>
    <row r="677" spans="1:16" ht="12.75" x14ac:dyDescent="0.2">
      <c r="A677" s="121"/>
      <c r="B677" s="121"/>
      <c r="C677" s="121"/>
      <c r="D677" s="121"/>
      <c r="E677" s="121" t="s">
        <v>307</v>
      </c>
      <c r="F677" s="121"/>
      <c r="G677" s="122">
        <v>45517</v>
      </c>
      <c r="H677" s="121"/>
      <c r="I677" s="121" t="s">
        <v>1207</v>
      </c>
      <c r="J677" s="121"/>
      <c r="K677" s="121" t="s">
        <v>456</v>
      </c>
      <c r="L677" s="121"/>
      <c r="M677" s="121" t="s">
        <v>314</v>
      </c>
      <c r="N677" s="121"/>
      <c r="O677" s="112">
        <v>1666.67</v>
      </c>
      <c r="P677" s="1"/>
    </row>
    <row r="678" spans="1:16" ht="12.75" x14ac:dyDescent="0.2">
      <c r="A678" s="121"/>
      <c r="B678" s="121"/>
      <c r="C678" s="121"/>
      <c r="D678" s="121"/>
      <c r="E678" s="121" t="s">
        <v>307</v>
      </c>
      <c r="F678" s="121"/>
      <c r="G678" s="122">
        <v>45520</v>
      </c>
      <c r="H678" s="121"/>
      <c r="I678" s="121" t="s">
        <v>1208</v>
      </c>
      <c r="J678" s="121"/>
      <c r="K678" s="121" t="s">
        <v>456</v>
      </c>
      <c r="L678" s="121"/>
      <c r="M678" s="121" t="s">
        <v>941</v>
      </c>
      <c r="N678" s="121"/>
      <c r="O678" s="112">
        <v>1666.67</v>
      </c>
      <c r="P678" s="1"/>
    </row>
    <row r="679" spans="1:16" ht="12.75" x14ac:dyDescent="0.2">
      <c r="A679" s="121"/>
      <c r="B679" s="121"/>
      <c r="C679" s="121"/>
      <c r="D679" s="121"/>
      <c r="E679" s="121" t="s">
        <v>307</v>
      </c>
      <c r="F679" s="121"/>
      <c r="G679" s="122">
        <v>45313</v>
      </c>
      <c r="H679" s="121"/>
      <c r="I679" s="121" t="s">
        <v>934</v>
      </c>
      <c r="J679" s="121"/>
      <c r="K679" s="121" t="s">
        <v>458</v>
      </c>
      <c r="L679" s="121"/>
      <c r="M679" s="121" t="s">
        <v>462</v>
      </c>
      <c r="N679" s="121"/>
      <c r="O679" s="112">
        <v>275</v>
      </c>
      <c r="P679" s="1"/>
    </row>
    <row r="680" spans="1:16" ht="12.75" x14ac:dyDescent="0.2">
      <c r="A680" s="121"/>
      <c r="B680" s="121"/>
      <c r="C680" s="121"/>
      <c r="D680" s="121"/>
      <c r="E680" s="121" t="s">
        <v>307</v>
      </c>
      <c r="F680" s="121"/>
      <c r="G680" s="122">
        <v>45371</v>
      </c>
      <c r="H680" s="121"/>
      <c r="I680" s="121" t="s">
        <v>935</v>
      </c>
      <c r="J680" s="121"/>
      <c r="K680" s="121" t="s">
        <v>458</v>
      </c>
      <c r="L680" s="121"/>
      <c r="M680" s="121" t="s">
        <v>420</v>
      </c>
      <c r="N680" s="121"/>
      <c r="O680" s="112">
        <v>275</v>
      </c>
      <c r="P680" s="1"/>
    </row>
    <row r="681" spans="1:16" ht="12.75" x14ac:dyDescent="0.2">
      <c r="A681" s="121"/>
      <c r="B681" s="121"/>
      <c r="C681" s="121"/>
      <c r="D681" s="121"/>
      <c r="E681" s="121" t="s">
        <v>307</v>
      </c>
      <c r="F681" s="121"/>
      <c r="G681" s="122">
        <v>45330</v>
      </c>
      <c r="H681" s="121"/>
      <c r="I681" s="121" t="s">
        <v>936</v>
      </c>
      <c r="J681" s="121"/>
      <c r="K681" s="121" t="s">
        <v>458</v>
      </c>
      <c r="L681" s="121"/>
      <c r="M681" s="121" t="s">
        <v>464</v>
      </c>
      <c r="N681" s="121"/>
      <c r="O681" s="112">
        <v>275</v>
      </c>
      <c r="P681" s="1"/>
    </row>
    <row r="682" spans="1:16" ht="12.75" x14ac:dyDescent="0.2">
      <c r="A682" s="121"/>
      <c r="B682" s="121"/>
      <c r="C682" s="121"/>
      <c r="D682" s="121"/>
      <c r="E682" s="121" t="s">
        <v>307</v>
      </c>
      <c r="F682" s="121"/>
      <c r="G682" s="122">
        <v>45391</v>
      </c>
      <c r="H682" s="121"/>
      <c r="I682" s="121" t="s">
        <v>937</v>
      </c>
      <c r="J682" s="121"/>
      <c r="K682" s="121" t="s">
        <v>458</v>
      </c>
      <c r="L682" s="121"/>
      <c r="M682" s="121" t="s">
        <v>322</v>
      </c>
      <c r="N682" s="121"/>
      <c r="O682" s="112">
        <v>275</v>
      </c>
      <c r="P682" s="1"/>
    </row>
    <row r="683" spans="1:16" ht="12.75" x14ac:dyDescent="0.2">
      <c r="A683" s="121"/>
      <c r="B683" s="121"/>
      <c r="C683" s="121"/>
      <c r="D683" s="121"/>
      <c r="E683" s="121" t="s">
        <v>307</v>
      </c>
      <c r="F683" s="121"/>
      <c r="G683" s="122">
        <v>45433</v>
      </c>
      <c r="H683" s="121"/>
      <c r="I683" s="121" t="s">
        <v>938</v>
      </c>
      <c r="J683" s="121"/>
      <c r="K683" s="121" t="s">
        <v>458</v>
      </c>
      <c r="L683" s="121"/>
      <c r="M683" s="121" t="s">
        <v>311</v>
      </c>
      <c r="N683" s="121"/>
      <c r="O683" s="112">
        <v>275</v>
      </c>
      <c r="P683" s="1"/>
    </row>
    <row r="684" spans="1:16" ht="12.75" x14ac:dyDescent="0.2">
      <c r="A684" s="121"/>
      <c r="B684" s="121"/>
      <c r="C684" s="121"/>
      <c r="D684" s="121"/>
      <c r="E684" s="121" t="s">
        <v>307</v>
      </c>
      <c r="F684" s="121"/>
      <c r="G684" s="122">
        <v>45468</v>
      </c>
      <c r="H684" s="121"/>
      <c r="I684" s="121" t="s">
        <v>457</v>
      </c>
      <c r="J684" s="121"/>
      <c r="K684" s="121" t="s">
        <v>458</v>
      </c>
      <c r="L684" s="121"/>
      <c r="M684" s="121" t="s">
        <v>314</v>
      </c>
      <c r="N684" s="121"/>
      <c r="O684" s="112">
        <v>275</v>
      </c>
      <c r="P684" s="1"/>
    </row>
    <row r="685" spans="1:16" ht="12.75" x14ac:dyDescent="0.2">
      <c r="A685" s="121"/>
      <c r="B685" s="121"/>
      <c r="C685" s="121"/>
      <c r="D685" s="121"/>
      <c r="E685" s="121" t="s">
        <v>307</v>
      </c>
      <c r="F685" s="121"/>
      <c r="G685" s="122">
        <v>45491</v>
      </c>
      <c r="H685" s="121"/>
      <c r="I685" s="121" t="s">
        <v>1040</v>
      </c>
      <c r="J685" s="121"/>
      <c r="K685" s="121" t="s">
        <v>458</v>
      </c>
      <c r="L685" s="121"/>
      <c r="M685" s="121" t="s">
        <v>941</v>
      </c>
      <c r="N685" s="121"/>
      <c r="O685" s="112">
        <v>275</v>
      </c>
      <c r="P685" s="1"/>
    </row>
    <row r="686" spans="1:16" ht="13.5" thickBot="1" x14ac:dyDescent="0.25">
      <c r="A686" s="121"/>
      <c r="B686" s="121"/>
      <c r="C686" s="121"/>
      <c r="D686" s="121"/>
      <c r="E686" s="121" t="s">
        <v>307</v>
      </c>
      <c r="F686" s="121"/>
      <c r="G686" s="122">
        <v>45511</v>
      </c>
      <c r="H686" s="121"/>
      <c r="I686" s="121" t="s">
        <v>1209</v>
      </c>
      <c r="J686" s="121"/>
      <c r="K686" s="121" t="s">
        <v>458</v>
      </c>
      <c r="L686" s="121"/>
      <c r="M686" s="121" t="s">
        <v>970</v>
      </c>
      <c r="N686" s="121"/>
      <c r="O686" s="112">
        <v>275</v>
      </c>
      <c r="P686" s="1"/>
    </row>
    <row r="687" spans="1:16" ht="13.5" thickBot="1" x14ac:dyDescent="0.25">
      <c r="A687" s="121"/>
      <c r="B687" s="121" t="s">
        <v>459</v>
      </c>
      <c r="C687" s="121"/>
      <c r="D687" s="121"/>
      <c r="E687" s="121"/>
      <c r="F687" s="121"/>
      <c r="G687" s="122"/>
      <c r="H687" s="121"/>
      <c r="I687" s="121"/>
      <c r="J687" s="121"/>
      <c r="K687" s="121"/>
      <c r="L687" s="121"/>
      <c r="M687" s="121"/>
      <c r="N687" s="121"/>
      <c r="O687" s="124">
        <f>ROUND(SUM(O2:O686),5)</f>
        <v>1075004.46</v>
      </c>
      <c r="P687" s="1"/>
    </row>
    <row r="688" spans="1:16" s="114" customFormat="1" ht="12" thickBot="1" x14ac:dyDescent="0.25">
      <c r="A688" s="111" t="s">
        <v>460</v>
      </c>
      <c r="B688" s="111"/>
      <c r="C688" s="111"/>
      <c r="D688" s="111"/>
      <c r="E688" s="111"/>
      <c r="F688" s="111"/>
      <c r="G688" s="119"/>
      <c r="H688" s="111"/>
      <c r="I688" s="111"/>
      <c r="J688" s="111"/>
      <c r="K688" s="111"/>
      <c r="L688" s="111"/>
      <c r="M688" s="111"/>
      <c r="N688" s="111"/>
      <c r="O688" s="113">
        <f>O687</f>
        <v>1075004.46</v>
      </c>
    </row>
    <row r="689" spans="15:16" ht="13.5" thickTop="1" x14ac:dyDescent="0.2">
      <c r="P689" s="1"/>
    </row>
    <row r="690" spans="15:16" ht="12.75" x14ac:dyDescent="0.2">
      <c r="O690" s="131">
        <v>1075004.46</v>
      </c>
      <c r="P690" s="1"/>
    </row>
    <row r="691" spans="15:16" ht="12.75" x14ac:dyDescent="0.2">
      <c r="P691" s="1"/>
    </row>
    <row r="692" spans="15:16" ht="12.75" x14ac:dyDescent="0.2">
      <c r="P692" s="1"/>
    </row>
    <row r="693" spans="15:16" ht="12.75" x14ac:dyDescent="0.2">
      <c r="P693" s="1"/>
    </row>
    <row r="694" spans="15:16" ht="12.75" x14ac:dyDescent="0.2">
      <c r="P694" s="1"/>
    </row>
    <row r="695" spans="15:16" ht="12.75" x14ac:dyDescent="0.2">
      <c r="P695" s="1"/>
    </row>
    <row r="696" spans="15:16" ht="12.75" x14ac:dyDescent="0.2">
      <c r="P696" s="1"/>
    </row>
    <row r="697" spans="15:16" ht="12.75" x14ac:dyDescent="0.2">
      <c r="P697" s="1"/>
    </row>
    <row r="698" spans="15:16" ht="12.75" x14ac:dyDescent="0.2">
      <c r="P698" s="1"/>
    </row>
    <row r="699" spans="15:16" ht="12.75" x14ac:dyDescent="0.2">
      <c r="P699" s="1"/>
    </row>
    <row r="700" spans="15:16" ht="12.75" x14ac:dyDescent="0.2">
      <c r="P700" s="1"/>
    </row>
    <row r="701" spans="15:16" ht="12.75" x14ac:dyDescent="0.2">
      <c r="P701" s="1"/>
    </row>
    <row r="702" spans="15:16" ht="12.75" x14ac:dyDescent="0.2">
      <c r="P702" s="1"/>
    </row>
    <row r="703" spans="15:16" ht="12.75" x14ac:dyDescent="0.2">
      <c r="P703" s="1"/>
    </row>
    <row r="704" spans="15:16" ht="12.75" x14ac:dyDescent="0.2">
      <c r="P704" s="1"/>
    </row>
    <row r="705" spans="16:16" ht="12.75" x14ac:dyDescent="0.2">
      <c r="P705" s="1"/>
    </row>
    <row r="706" spans="16:16" ht="12.75" x14ac:dyDescent="0.2">
      <c r="P706" s="1"/>
    </row>
    <row r="707" spans="16:16" ht="12.75" x14ac:dyDescent="0.2">
      <c r="P707" s="1"/>
    </row>
    <row r="708" spans="16:16" ht="12.75" x14ac:dyDescent="0.2">
      <c r="P708" s="1"/>
    </row>
    <row r="709" spans="16:16" ht="12.75" x14ac:dyDescent="0.2">
      <c r="P709" s="1"/>
    </row>
    <row r="710" spans="16:16" ht="12.75" x14ac:dyDescent="0.2">
      <c r="P710" s="1"/>
    </row>
    <row r="711" spans="16:16" ht="12.75" x14ac:dyDescent="0.2">
      <c r="P711" s="1"/>
    </row>
    <row r="712" spans="16:16" ht="12.75" x14ac:dyDescent="0.2">
      <c r="P712" s="1"/>
    </row>
  </sheetData>
  <printOptions horizontalCentered="1" gridLines="1"/>
  <pageMargins left="0.17" right="0.1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7"/>
  <sheetViews>
    <sheetView topLeftCell="A73" zoomScale="110" zoomScaleNormal="110" zoomScaleSheetLayoutView="110" workbookViewId="0">
      <pane xSplit="4" topLeftCell="E1" activePane="topRight" state="frozen"/>
      <selection pane="topRight"/>
    </sheetView>
  </sheetViews>
  <sheetFormatPr defaultRowHeight="17.25" customHeight="1" x14ac:dyDescent="0.2"/>
  <cols>
    <col min="1" max="1" width="3" style="1" customWidth="1"/>
    <col min="2" max="2" width="34.140625" style="1" customWidth="1"/>
    <col min="3" max="3" width="10.42578125" style="1" bestFit="1" customWidth="1"/>
    <col min="4" max="4" width="2.28515625" style="1" customWidth="1"/>
    <col min="5" max="5" width="11.85546875" style="1" bestFit="1" customWidth="1"/>
    <col min="6" max="6" width="2.28515625" style="1" customWidth="1"/>
    <col min="7" max="7" width="8.7109375" style="1" bestFit="1" customWidth="1"/>
    <col min="8" max="8" width="2.28515625" style="1" customWidth="1"/>
    <col min="9" max="9" width="5.28515625" style="1" bestFit="1" customWidth="1"/>
    <col min="10" max="10" width="2.28515625" style="1" customWidth="1"/>
    <col min="11" max="11" width="30.7109375" style="1" customWidth="1"/>
    <col min="12" max="12" width="2.28515625" style="1" customWidth="1"/>
    <col min="13" max="13" width="30.7109375" style="1" customWidth="1"/>
    <col min="14" max="14" width="2.28515625" style="1" customWidth="1"/>
    <col min="15" max="15" width="30.28515625" style="1" bestFit="1" customWidth="1"/>
    <col min="16" max="16" width="2.28515625" style="1" customWidth="1"/>
    <col min="17" max="17" width="10" style="1" bestFit="1" customWidth="1"/>
    <col min="18" max="16384" width="9.140625" style="1"/>
  </cols>
  <sheetData>
    <row r="1" spans="1:4" ht="17.25" customHeight="1" thickBot="1" x14ac:dyDescent="0.25">
      <c r="A1" s="132"/>
      <c r="B1" s="132"/>
      <c r="C1" s="109" t="s">
        <v>1211</v>
      </c>
      <c r="D1" s="110"/>
    </row>
    <row r="2" spans="1:4" ht="17.25" customHeight="1" thickTop="1" x14ac:dyDescent="0.2">
      <c r="A2" s="111"/>
      <c r="B2" s="111" t="s">
        <v>309</v>
      </c>
      <c r="C2" s="112">
        <v>4275.8100000000004</v>
      </c>
    </row>
    <row r="3" spans="1:4" ht="17.25" customHeight="1" x14ac:dyDescent="0.2">
      <c r="A3" s="111"/>
      <c r="B3" s="111" t="s">
        <v>313</v>
      </c>
      <c r="C3" s="112">
        <v>4800</v>
      </c>
    </row>
    <row r="4" spans="1:4" ht="17.25" customHeight="1" x14ac:dyDescent="0.2">
      <c r="A4" s="111"/>
      <c r="B4" s="111" t="s">
        <v>316</v>
      </c>
      <c r="C4" s="112">
        <v>3200</v>
      </c>
    </row>
    <row r="5" spans="1:4" ht="17.25" customHeight="1" x14ac:dyDescent="0.2">
      <c r="A5" s="111"/>
      <c r="B5" s="111" t="s">
        <v>318</v>
      </c>
      <c r="C5" s="112">
        <v>33333.360000000001</v>
      </c>
    </row>
    <row r="6" spans="1:4" ht="17.25" customHeight="1" x14ac:dyDescent="0.2">
      <c r="A6" s="111"/>
      <c r="B6" s="111" t="s">
        <v>132</v>
      </c>
      <c r="C6" s="112">
        <v>1650</v>
      </c>
    </row>
    <row r="7" spans="1:4" ht="17.25" customHeight="1" x14ac:dyDescent="0.2">
      <c r="A7" s="111"/>
      <c r="B7" s="111" t="s">
        <v>321</v>
      </c>
      <c r="C7" s="112">
        <v>11666.68</v>
      </c>
    </row>
    <row r="8" spans="1:4" ht="17.25" customHeight="1" x14ac:dyDescent="0.2">
      <c r="A8" s="111"/>
      <c r="B8" s="111" t="s">
        <v>325</v>
      </c>
      <c r="C8" s="112">
        <v>41423</v>
      </c>
    </row>
    <row r="9" spans="1:4" ht="17.25" customHeight="1" x14ac:dyDescent="0.2">
      <c r="A9" s="111"/>
      <c r="B9" s="111" t="s">
        <v>496</v>
      </c>
      <c r="C9" s="112">
        <v>7200</v>
      </c>
    </row>
    <row r="10" spans="1:4" ht="17.25" customHeight="1" x14ac:dyDescent="0.2">
      <c r="A10" s="111"/>
      <c r="B10" s="111" t="s">
        <v>327</v>
      </c>
      <c r="C10" s="112">
        <v>1960</v>
      </c>
    </row>
    <row r="11" spans="1:4" ht="17.25" customHeight="1" x14ac:dyDescent="0.2">
      <c r="A11" s="111"/>
      <c r="B11" s="111" t="s">
        <v>504</v>
      </c>
      <c r="C11" s="112">
        <v>15458.38</v>
      </c>
    </row>
    <row r="12" spans="1:4" ht="17.25" customHeight="1" x14ac:dyDescent="0.2">
      <c r="A12" s="111"/>
      <c r="B12" s="111" t="s">
        <v>509</v>
      </c>
      <c r="C12" s="112">
        <v>2708.35</v>
      </c>
    </row>
    <row r="13" spans="1:4" ht="17.25" customHeight="1" x14ac:dyDescent="0.2">
      <c r="A13" s="111"/>
      <c r="B13" s="111" t="s">
        <v>329</v>
      </c>
      <c r="C13" s="112">
        <v>3500.04</v>
      </c>
    </row>
    <row r="14" spans="1:4" ht="17.25" customHeight="1" x14ac:dyDescent="0.2">
      <c r="A14" s="111"/>
      <c r="B14" s="111" t="s">
        <v>332</v>
      </c>
      <c r="C14" s="112">
        <v>26250.03</v>
      </c>
    </row>
    <row r="15" spans="1:4" ht="17.25" customHeight="1" x14ac:dyDescent="0.2">
      <c r="A15" s="111"/>
      <c r="B15" s="111" t="s">
        <v>334</v>
      </c>
      <c r="C15" s="112">
        <v>3333.33</v>
      </c>
    </row>
    <row r="16" spans="1:4" ht="17.25" customHeight="1" x14ac:dyDescent="0.2">
      <c r="A16" s="111"/>
      <c r="B16" s="111" t="s">
        <v>20</v>
      </c>
      <c r="C16" s="112">
        <v>1179</v>
      </c>
    </row>
    <row r="17" spans="1:3" ht="17.25" customHeight="1" x14ac:dyDescent="0.2">
      <c r="A17" s="111"/>
      <c r="B17" s="111" t="s">
        <v>336</v>
      </c>
      <c r="C17" s="112">
        <v>2666.66</v>
      </c>
    </row>
    <row r="18" spans="1:3" ht="17.25" customHeight="1" x14ac:dyDescent="0.2">
      <c r="A18" s="111"/>
      <c r="B18" s="111" t="s">
        <v>338</v>
      </c>
      <c r="C18" s="112">
        <v>29000</v>
      </c>
    </row>
    <row r="19" spans="1:3" ht="17.25" customHeight="1" x14ac:dyDescent="0.2">
      <c r="A19" s="111"/>
      <c r="B19" s="111" t="s">
        <v>340</v>
      </c>
      <c r="C19" s="112">
        <v>17333.28</v>
      </c>
    </row>
    <row r="20" spans="1:3" ht="17.25" customHeight="1" x14ac:dyDescent="0.2">
      <c r="A20" s="111"/>
      <c r="B20" s="111" t="s">
        <v>342</v>
      </c>
      <c r="C20" s="112">
        <v>42664</v>
      </c>
    </row>
    <row r="21" spans="1:3" ht="17.25" customHeight="1" x14ac:dyDescent="0.2">
      <c r="A21" s="111"/>
      <c r="B21" s="111" t="s">
        <v>344</v>
      </c>
      <c r="C21" s="112">
        <v>3333.36</v>
      </c>
    </row>
    <row r="22" spans="1:3" ht="17.25" customHeight="1" x14ac:dyDescent="0.2">
      <c r="A22" s="111"/>
      <c r="B22" s="111" t="s">
        <v>108</v>
      </c>
      <c r="C22" s="112">
        <v>12800</v>
      </c>
    </row>
    <row r="23" spans="1:3" ht="17.25" customHeight="1" x14ac:dyDescent="0.2">
      <c r="A23" s="111"/>
      <c r="B23" s="111" t="s">
        <v>347</v>
      </c>
      <c r="C23" s="112">
        <v>4666.6400000000003</v>
      </c>
    </row>
    <row r="24" spans="1:3" ht="17.25" customHeight="1" x14ac:dyDescent="0.2">
      <c r="A24" s="111"/>
      <c r="B24" s="111" t="s">
        <v>349</v>
      </c>
      <c r="C24" s="112">
        <v>22250</v>
      </c>
    </row>
    <row r="25" spans="1:3" ht="17.25" customHeight="1" x14ac:dyDescent="0.2">
      <c r="A25" s="111"/>
      <c r="B25" s="111" t="s">
        <v>566</v>
      </c>
      <c r="C25" s="112">
        <v>10322.67</v>
      </c>
    </row>
    <row r="26" spans="1:3" ht="17.25" customHeight="1" x14ac:dyDescent="0.2">
      <c r="A26" s="111"/>
      <c r="B26" s="111" t="s">
        <v>573</v>
      </c>
      <c r="C26" s="112">
        <v>600</v>
      </c>
    </row>
    <row r="27" spans="1:3" ht="17.25" customHeight="1" x14ac:dyDescent="0.2">
      <c r="A27" s="111"/>
      <c r="B27" s="111" t="s">
        <v>351</v>
      </c>
      <c r="C27" s="112">
        <v>35336</v>
      </c>
    </row>
    <row r="28" spans="1:3" ht="17.25" customHeight="1" x14ac:dyDescent="0.2">
      <c r="A28" s="111"/>
      <c r="B28" s="111" t="s">
        <v>583</v>
      </c>
      <c r="C28" s="112">
        <v>800</v>
      </c>
    </row>
    <row r="29" spans="1:3" ht="17.25" customHeight="1" x14ac:dyDescent="0.2">
      <c r="A29" s="111"/>
      <c r="B29" s="111" t="s">
        <v>588</v>
      </c>
      <c r="C29" s="112">
        <v>215</v>
      </c>
    </row>
    <row r="30" spans="1:3" ht="17.25" customHeight="1" x14ac:dyDescent="0.2">
      <c r="A30" s="111"/>
      <c r="B30" s="111" t="s">
        <v>353</v>
      </c>
      <c r="C30" s="112">
        <v>1360</v>
      </c>
    </row>
    <row r="31" spans="1:3" ht="17.25" customHeight="1" x14ac:dyDescent="0.2">
      <c r="A31" s="111"/>
      <c r="B31" s="111" t="s">
        <v>599</v>
      </c>
      <c r="C31" s="112">
        <v>6187.5</v>
      </c>
    </row>
    <row r="32" spans="1:3" ht="17.25" customHeight="1" x14ac:dyDescent="0.2">
      <c r="A32" s="111"/>
      <c r="B32" s="111" t="s">
        <v>355</v>
      </c>
      <c r="C32" s="112">
        <v>3791.69</v>
      </c>
    </row>
    <row r="33" spans="1:3" ht="17.25" customHeight="1" x14ac:dyDescent="0.2">
      <c r="A33" s="111"/>
      <c r="B33" s="111" t="s">
        <v>610</v>
      </c>
      <c r="C33" s="112">
        <v>10000</v>
      </c>
    </row>
    <row r="34" spans="1:3" ht="17.25" customHeight="1" x14ac:dyDescent="0.2">
      <c r="A34" s="111"/>
      <c r="B34" s="111" t="s">
        <v>358</v>
      </c>
      <c r="C34" s="112">
        <v>1750</v>
      </c>
    </row>
    <row r="35" spans="1:3" ht="17.25" customHeight="1" x14ac:dyDescent="0.2">
      <c r="A35" s="111"/>
      <c r="B35" s="111" t="s">
        <v>360</v>
      </c>
      <c r="C35" s="112">
        <v>4500</v>
      </c>
    </row>
    <row r="36" spans="1:3" ht="17.25" customHeight="1" x14ac:dyDescent="0.2">
      <c r="A36" s="111"/>
      <c r="B36" s="111" t="s">
        <v>624</v>
      </c>
      <c r="C36" s="112">
        <v>1800</v>
      </c>
    </row>
    <row r="37" spans="1:3" ht="17.25" customHeight="1" x14ac:dyDescent="0.2">
      <c r="A37" s="111"/>
      <c r="B37" s="111" t="s">
        <v>629</v>
      </c>
      <c r="C37" s="112">
        <v>1624.98</v>
      </c>
    </row>
    <row r="38" spans="1:3" ht="17.25" customHeight="1" x14ac:dyDescent="0.2">
      <c r="A38" s="111"/>
      <c r="B38" s="111" t="s">
        <v>631</v>
      </c>
      <c r="C38" s="112">
        <v>2250</v>
      </c>
    </row>
    <row r="39" spans="1:3" ht="17.25" customHeight="1" x14ac:dyDescent="0.2">
      <c r="A39" s="111"/>
      <c r="B39" s="111" t="s">
        <v>363</v>
      </c>
      <c r="C39" s="112">
        <v>875</v>
      </c>
    </row>
    <row r="40" spans="1:3" ht="17.25" customHeight="1" x14ac:dyDescent="0.2">
      <c r="A40" s="111"/>
      <c r="B40" s="111" t="s">
        <v>639</v>
      </c>
      <c r="C40" s="112">
        <v>7500</v>
      </c>
    </row>
    <row r="41" spans="1:3" ht="17.25" customHeight="1" x14ac:dyDescent="0.2">
      <c r="A41" s="111"/>
      <c r="B41" s="111" t="s">
        <v>365</v>
      </c>
      <c r="C41" s="112">
        <v>6400</v>
      </c>
    </row>
    <row r="42" spans="1:3" ht="17.25" customHeight="1" x14ac:dyDescent="0.2">
      <c r="A42" s="111"/>
      <c r="B42" s="111" t="s">
        <v>646</v>
      </c>
      <c r="C42" s="112">
        <v>2500</v>
      </c>
    </row>
    <row r="43" spans="1:3" ht="17.25" customHeight="1" x14ac:dyDescent="0.2">
      <c r="A43" s="111"/>
      <c r="B43" s="111" t="s">
        <v>368</v>
      </c>
      <c r="C43" s="112">
        <v>12000</v>
      </c>
    </row>
    <row r="44" spans="1:3" ht="17.25" customHeight="1" x14ac:dyDescent="0.2">
      <c r="A44" s="111"/>
      <c r="B44" s="111" t="s">
        <v>370</v>
      </c>
      <c r="C44" s="112">
        <v>16666.72</v>
      </c>
    </row>
    <row r="45" spans="1:3" ht="17.25" customHeight="1" x14ac:dyDescent="0.2">
      <c r="A45" s="111"/>
      <c r="B45" s="111" t="s">
        <v>372</v>
      </c>
      <c r="C45" s="112">
        <v>9600</v>
      </c>
    </row>
    <row r="46" spans="1:3" ht="17.25" customHeight="1" x14ac:dyDescent="0.2">
      <c r="A46" s="111"/>
      <c r="B46" s="111" t="s">
        <v>374</v>
      </c>
      <c r="C46" s="112">
        <v>3333.36</v>
      </c>
    </row>
    <row r="47" spans="1:3" ht="17.25" customHeight="1" x14ac:dyDescent="0.2">
      <c r="A47" s="111"/>
      <c r="B47" s="111" t="s">
        <v>376</v>
      </c>
      <c r="C47" s="112">
        <v>13000.02</v>
      </c>
    </row>
    <row r="48" spans="1:3" ht="17.25" customHeight="1" x14ac:dyDescent="0.2">
      <c r="A48" s="111"/>
      <c r="B48" s="111" t="s">
        <v>673</v>
      </c>
      <c r="C48" s="112">
        <v>10062.5</v>
      </c>
    </row>
    <row r="49" spans="1:3" ht="17.25" customHeight="1" x14ac:dyDescent="0.2">
      <c r="A49" s="111"/>
      <c r="B49" s="111" t="s">
        <v>378</v>
      </c>
      <c r="C49" s="112">
        <v>10400</v>
      </c>
    </row>
    <row r="50" spans="1:3" ht="17.25" customHeight="1" x14ac:dyDescent="0.2">
      <c r="A50" s="111"/>
      <c r="B50" s="111" t="s">
        <v>683</v>
      </c>
      <c r="C50" s="112">
        <v>1800</v>
      </c>
    </row>
    <row r="51" spans="1:3" ht="17.25" customHeight="1" x14ac:dyDescent="0.2">
      <c r="A51" s="111"/>
      <c r="B51" s="111" t="s">
        <v>380</v>
      </c>
      <c r="C51" s="112">
        <v>50000</v>
      </c>
    </row>
    <row r="52" spans="1:3" ht="17.25" customHeight="1" x14ac:dyDescent="0.2">
      <c r="A52" s="111"/>
      <c r="B52" s="111" t="s">
        <v>382</v>
      </c>
      <c r="C52" s="112">
        <v>13955.12</v>
      </c>
    </row>
    <row r="53" spans="1:3" ht="17.25" customHeight="1" x14ac:dyDescent="0.2">
      <c r="A53" s="111"/>
      <c r="B53" s="111" t="s">
        <v>694</v>
      </c>
      <c r="C53" s="112">
        <v>4500</v>
      </c>
    </row>
    <row r="54" spans="1:3" ht="17.25" customHeight="1" x14ac:dyDescent="0.2">
      <c r="A54" s="111"/>
      <c r="B54" s="111" t="s">
        <v>384</v>
      </c>
      <c r="C54" s="112">
        <v>16395.28</v>
      </c>
    </row>
    <row r="55" spans="1:3" ht="17.25" customHeight="1" x14ac:dyDescent="0.2">
      <c r="A55" s="111"/>
      <c r="B55" s="111" t="s">
        <v>144</v>
      </c>
      <c r="C55" s="112">
        <v>1416</v>
      </c>
    </row>
    <row r="56" spans="1:3" ht="17.25" customHeight="1" x14ac:dyDescent="0.2">
      <c r="A56" s="111"/>
      <c r="B56" s="111" t="s">
        <v>387</v>
      </c>
      <c r="C56" s="112">
        <v>1458.31</v>
      </c>
    </row>
    <row r="57" spans="1:3" ht="17.25" customHeight="1" x14ac:dyDescent="0.2">
      <c r="A57" s="111"/>
      <c r="B57" s="111" t="s">
        <v>389</v>
      </c>
      <c r="C57" s="112">
        <v>28333.360000000001</v>
      </c>
    </row>
    <row r="58" spans="1:3" ht="17.25" customHeight="1" x14ac:dyDescent="0.2">
      <c r="A58" s="111"/>
      <c r="B58" s="111" t="s">
        <v>44</v>
      </c>
      <c r="C58" s="112">
        <v>4336</v>
      </c>
    </row>
    <row r="59" spans="1:3" ht="17.25" customHeight="1" x14ac:dyDescent="0.2">
      <c r="A59" s="111"/>
      <c r="B59" s="111" t="s">
        <v>392</v>
      </c>
      <c r="C59" s="112">
        <v>49348</v>
      </c>
    </row>
    <row r="60" spans="1:3" ht="17.25" customHeight="1" x14ac:dyDescent="0.2">
      <c r="A60" s="111"/>
      <c r="B60" s="111" t="s">
        <v>725</v>
      </c>
      <c r="C60" s="112">
        <v>1000</v>
      </c>
    </row>
    <row r="61" spans="1:3" ht="17.25" customHeight="1" x14ac:dyDescent="0.2">
      <c r="A61" s="111"/>
      <c r="B61" s="111" t="s">
        <v>394</v>
      </c>
      <c r="C61" s="112">
        <v>3500</v>
      </c>
    </row>
    <row r="62" spans="1:3" ht="17.25" customHeight="1" x14ac:dyDescent="0.2">
      <c r="A62" s="111"/>
      <c r="B62" s="111" t="s">
        <v>396</v>
      </c>
      <c r="C62" s="112">
        <v>400</v>
      </c>
    </row>
    <row r="63" spans="1:3" ht="17.25" customHeight="1" x14ac:dyDescent="0.2">
      <c r="A63" s="111"/>
      <c r="B63" s="111" t="s">
        <v>398</v>
      </c>
      <c r="C63" s="112">
        <v>7333.36</v>
      </c>
    </row>
    <row r="64" spans="1:3" ht="17.25" customHeight="1" x14ac:dyDescent="0.2">
      <c r="A64" s="111"/>
      <c r="B64" s="111" t="s">
        <v>745</v>
      </c>
      <c r="C64" s="112">
        <v>4900.0200000000004</v>
      </c>
    </row>
    <row r="65" spans="1:3" ht="17.25" customHeight="1" x14ac:dyDescent="0.2">
      <c r="A65" s="111"/>
      <c r="B65" s="111" t="s">
        <v>751</v>
      </c>
      <c r="C65" s="112">
        <v>1500</v>
      </c>
    </row>
    <row r="66" spans="1:3" ht="17.25" customHeight="1" x14ac:dyDescent="0.2">
      <c r="A66" s="111"/>
      <c r="B66" s="111" t="s">
        <v>400</v>
      </c>
      <c r="C66" s="112">
        <v>45800</v>
      </c>
    </row>
    <row r="67" spans="1:3" ht="17.25" customHeight="1" x14ac:dyDescent="0.2">
      <c r="A67" s="111"/>
      <c r="B67" s="111" t="s">
        <v>758</v>
      </c>
      <c r="C67" s="112">
        <v>1000</v>
      </c>
    </row>
    <row r="68" spans="1:3" ht="17.25" customHeight="1" x14ac:dyDescent="0.2">
      <c r="A68" s="111"/>
      <c r="B68" s="111" t="s">
        <v>402</v>
      </c>
      <c r="C68" s="112">
        <v>20000</v>
      </c>
    </row>
    <row r="69" spans="1:3" ht="17.25" customHeight="1" x14ac:dyDescent="0.2">
      <c r="A69" s="111"/>
      <c r="B69" s="111" t="s">
        <v>768</v>
      </c>
      <c r="C69" s="112">
        <v>875</v>
      </c>
    </row>
    <row r="70" spans="1:3" ht="17.25" customHeight="1" x14ac:dyDescent="0.2">
      <c r="A70" s="111"/>
      <c r="B70" s="111" t="s">
        <v>774</v>
      </c>
      <c r="C70" s="112">
        <v>6250</v>
      </c>
    </row>
    <row r="71" spans="1:3" ht="17.25" customHeight="1" x14ac:dyDescent="0.2">
      <c r="A71" s="111"/>
      <c r="B71" s="111" t="s">
        <v>53</v>
      </c>
      <c r="C71" s="112">
        <v>920</v>
      </c>
    </row>
    <row r="72" spans="1:3" ht="17.25" customHeight="1" x14ac:dyDescent="0.2">
      <c r="A72" s="111"/>
      <c r="B72" s="111" t="s">
        <v>404</v>
      </c>
      <c r="C72" s="112">
        <v>4666.7</v>
      </c>
    </row>
    <row r="73" spans="1:3" ht="17.25" customHeight="1" x14ac:dyDescent="0.2">
      <c r="A73" s="111"/>
      <c r="B73" s="111" t="s">
        <v>406</v>
      </c>
      <c r="C73" s="112">
        <v>30000</v>
      </c>
    </row>
    <row r="74" spans="1:3" ht="17.25" customHeight="1" x14ac:dyDescent="0.2">
      <c r="A74" s="111"/>
      <c r="B74" s="111" t="s">
        <v>171</v>
      </c>
      <c r="C74" s="112">
        <v>5250</v>
      </c>
    </row>
    <row r="75" spans="1:3" ht="17.25" customHeight="1" x14ac:dyDescent="0.2">
      <c r="A75" s="111"/>
      <c r="B75" s="111" t="s">
        <v>409</v>
      </c>
      <c r="C75" s="112">
        <v>19532.900000000001</v>
      </c>
    </row>
    <row r="76" spans="1:3" ht="17.25" customHeight="1" x14ac:dyDescent="0.2">
      <c r="A76" s="111"/>
      <c r="B76" s="111" t="s">
        <v>800</v>
      </c>
      <c r="C76" s="112">
        <v>1336</v>
      </c>
    </row>
    <row r="77" spans="1:3" ht="17.25" customHeight="1" x14ac:dyDescent="0.2">
      <c r="A77" s="111"/>
      <c r="B77" s="111" t="s">
        <v>411</v>
      </c>
      <c r="C77" s="112">
        <v>850</v>
      </c>
    </row>
    <row r="78" spans="1:3" ht="17.25" customHeight="1" x14ac:dyDescent="0.2">
      <c r="A78" s="111"/>
      <c r="B78" s="111" t="s">
        <v>812</v>
      </c>
      <c r="C78" s="112">
        <v>1866.68</v>
      </c>
    </row>
    <row r="79" spans="1:3" ht="17.25" customHeight="1" x14ac:dyDescent="0.2">
      <c r="A79" s="111"/>
      <c r="B79" s="111" t="s">
        <v>413</v>
      </c>
      <c r="C79" s="112">
        <v>87066.69</v>
      </c>
    </row>
    <row r="80" spans="1:3" ht="17.25" customHeight="1" x14ac:dyDescent="0.2">
      <c r="A80" s="111"/>
      <c r="B80" s="111" t="s">
        <v>416</v>
      </c>
      <c r="C80" s="112">
        <v>6666.72</v>
      </c>
    </row>
    <row r="81" spans="1:3" ht="17.25" customHeight="1" x14ac:dyDescent="0.2">
      <c r="A81" s="111"/>
      <c r="B81" s="111" t="s">
        <v>418</v>
      </c>
      <c r="C81" s="112">
        <v>24666.639999999999</v>
      </c>
    </row>
    <row r="82" spans="1:3" ht="17.25" customHeight="1" x14ac:dyDescent="0.2">
      <c r="A82" s="111"/>
      <c r="B82" s="111" t="s">
        <v>157</v>
      </c>
      <c r="C82" s="112">
        <v>3600</v>
      </c>
    </row>
    <row r="83" spans="1:3" ht="17.25" customHeight="1" x14ac:dyDescent="0.2">
      <c r="A83" s="111"/>
      <c r="B83" s="111" t="s">
        <v>287</v>
      </c>
      <c r="C83" s="112">
        <v>4000</v>
      </c>
    </row>
    <row r="84" spans="1:3" ht="17.25" customHeight="1" x14ac:dyDescent="0.2">
      <c r="A84" s="111"/>
      <c r="B84" s="111" t="s">
        <v>425</v>
      </c>
      <c r="C84" s="112">
        <v>18666.689999999999</v>
      </c>
    </row>
    <row r="85" spans="1:3" ht="17.25" customHeight="1" x14ac:dyDescent="0.2">
      <c r="A85" s="111"/>
      <c r="B85" s="111" t="s">
        <v>427</v>
      </c>
      <c r="C85" s="112">
        <v>1680</v>
      </c>
    </row>
    <row r="86" spans="1:3" ht="17.25" customHeight="1" x14ac:dyDescent="0.2">
      <c r="A86" s="111"/>
      <c r="B86" s="111" t="s">
        <v>223</v>
      </c>
      <c r="C86" s="112">
        <v>2900</v>
      </c>
    </row>
    <row r="87" spans="1:3" ht="17.25" customHeight="1" x14ac:dyDescent="0.2">
      <c r="A87" s="111"/>
      <c r="B87" s="111" t="s">
        <v>430</v>
      </c>
      <c r="C87" s="112">
        <v>7000</v>
      </c>
    </row>
    <row r="88" spans="1:3" ht="17.25" customHeight="1" x14ac:dyDescent="0.2">
      <c r="A88" s="111"/>
      <c r="B88" s="111" t="s">
        <v>432</v>
      </c>
      <c r="C88" s="112">
        <v>3333.36</v>
      </c>
    </row>
    <row r="89" spans="1:3" ht="17.25" customHeight="1" x14ac:dyDescent="0.2">
      <c r="A89" s="111"/>
      <c r="B89" s="111" t="s">
        <v>434</v>
      </c>
      <c r="C89" s="112">
        <v>25000</v>
      </c>
    </row>
    <row r="90" spans="1:3" ht="17.25" customHeight="1" x14ac:dyDescent="0.2">
      <c r="A90" s="111"/>
      <c r="B90" s="111" t="s">
        <v>436</v>
      </c>
      <c r="C90" s="112">
        <v>9834.65</v>
      </c>
    </row>
    <row r="91" spans="1:3" ht="17.25" customHeight="1" x14ac:dyDescent="0.2">
      <c r="A91" s="111"/>
      <c r="B91" s="111" t="s">
        <v>292</v>
      </c>
      <c r="C91" s="112">
        <v>700</v>
      </c>
    </row>
    <row r="92" spans="1:3" ht="17.25" customHeight="1" x14ac:dyDescent="0.2">
      <c r="A92" s="111"/>
      <c r="B92" s="111" t="s">
        <v>439</v>
      </c>
      <c r="C92" s="112">
        <v>3200</v>
      </c>
    </row>
    <row r="93" spans="1:3" ht="17.25" customHeight="1" x14ac:dyDescent="0.2">
      <c r="A93" s="111"/>
      <c r="B93" s="111" t="s">
        <v>442</v>
      </c>
      <c r="C93" s="112">
        <v>4800</v>
      </c>
    </row>
    <row r="94" spans="1:3" ht="17.25" customHeight="1" x14ac:dyDescent="0.2">
      <c r="A94" s="111"/>
      <c r="B94" s="111" t="s">
        <v>444</v>
      </c>
      <c r="C94" s="112">
        <v>2066.7199999999998</v>
      </c>
    </row>
    <row r="95" spans="1:3" ht="17.25" customHeight="1" x14ac:dyDescent="0.2">
      <c r="A95" s="111"/>
      <c r="B95" s="111" t="s">
        <v>446</v>
      </c>
      <c r="C95" s="112">
        <v>2450</v>
      </c>
    </row>
    <row r="96" spans="1:3" ht="17.25" customHeight="1" x14ac:dyDescent="0.2">
      <c r="A96" s="111"/>
      <c r="B96" s="111" t="s">
        <v>207</v>
      </c>
      <c r="C96" s="112">
        <v>800</v>
      </c>
    </row>
    <row r="97" spans="1:4" ht="17.25" customHeight="1" x14ac:dyDescent="0.2">
      <c r="A97" s="111"/>
      <c r="B97" s="111" t="s">
        <v>898</v>
      </c>
      <c r="C97" s="112">
        <v>12000</v>
      </c>
    </row>
    <row r="98" spans="1:4" ht="17.25" customHeight="1" x14ac:dyDescent="0.2">
      <c r="A98" s="111"/>
      <c r="B98" s="111" t="s">
        <v>903</v>
      </c>
      <c r="C98" s="112">
        <v>15750</v>
      </c>
    </row>
    <row r="99" spans="1:4" ht="17.25" customHeight="1" x14ac:dyDescent="0.2">
      <c r="A99" s="111"/>
      <c r="B99" s="111" t="s">
        <v>450</v>
      </c>
      <c r="C99" s="112">
        <v>13667.79</v>
      </c>
    </row>
    <row r="100" spans="1:4" ht="17.25" customHeight="1" x14ac:dyDescent="0.2">
      <c r="A100" s="111"/>
      <c r="B100" s="111" t="s">
        <v>452</v>
      </c>
      <c r="C100" s="112">
        <v>7333.36</v>
      </c>
    </row>
    <row r="101" spans="1:4" ht="17.25" customHeight="1" x14ac:dyDescent="0.2">
      <c r="A101" s="111"/>
      <c r="B101" s="111" t="s">
        <v>244</v>
      </c>
      <c r="C101" s="112">
        <v>1230</v>
      </c>
    </row>
    <row r="102" spans="1:4" ht="17.25" customHeight="1" x14ac:dyDescent="0.2">
      <c r="A102" s="111"/>
      <c r="B102" s="111" t="s">
        <v>454</v>
      </c>
      <c r="C102" s="112">
        <v>2800</v>
      </c>
    </row>
    <row r="103" spans="1:4" ht="17.25" customHeight="1" x14ac:dyDescent="0.2">
      <c r="A103" s="111"/>
      <c r="B103" s="111" t="s">
        <v>928</v>
      </c>
      <c r="C103" s="112">
        <v>1875.06</v>
      </c>
    </row>
    <row r="104" spans="1:4" ht="17.25" customHeight="1" x14ac:dyDescent="0.2">
      <c r="A104" s="111"/>
      <c r="B104" s="111" t="s">
        <v>456</v>
      </c>
      <c r="C104" s="112">
        <v>11666.69</v>
      </c>
    </row>
    <row r="105" spans="1:4" ht="17.25" customHeight="1" thickBot="1" x14ac:dyDescent="0.25">
      <c r="A105" s="111"/>
      <c r="B105" s="111" t="s">
        <v>458</v>
      </c>
      <c r="C105" s="112">
        <v>2200</v>
      </c>
    </row>
    <row r="106" spans="1:4" ht="17.25" customHeight="1" thickBot="1" x14ac:dyDescent="0.25">
      <c r="A106" s="111" t="s">
        <v>460</v>
      </c>
      <c r="B106" s="111"/>
      <c r="C106" s="113">
        <f>ROUND(SUM(C2:C105),5)</f>
        <v>1075004.46</v>
      </c>
      <c r="D106" s="114"/>
    </row>
    <row r="107" spans="1:4" ht="17.25" customHeight="1" thickTop="1" x14ac:dyDescent="0.2">
      <c r="A107" s="114"/>
      <c r="B107" s="114"/>
    </row>
  </sheetData>
  <sortState xmlns:xlrd2="http://schemas.microsoft.com/office/spreadsheetml/2017/richdata2" ref="F1:O19">
    <sortCondition ref="J1:J19"/>
    <sortCondition ref="F1:F19"/>
  </sortState>
  <printOptions horizontalCentered="1" gridLines="1"/>
  <pageMargins left="0.2" right="0.17" top="0.28999999999999998" bottom="0.47" header="0.3" footer="0.3"/>
  <pageSetup orientation="portrait" r:id="rId1"/>
  <rowBreaks count="1" manualBreakCount="1">
    <brk id="2" min="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79"/>
  <sheetViews>
    <sheetView zoomScale="120" zoomScaleNormal="120" zoomScaleSheetLayoutView="80" workbookViewId="0">
      <pane ySplit="8" topLeftCell="A156" activePane="bottomLeft" state="frozen"/>
      <selection pane="bottomLeft" activeCell="D177" sqref="D177"/>
    </sheetView>
  </sheetViews>
  <sheetFormatPr defaultRowHeight="12.75" x14ac:dyDescent="0.2"/>
  <cols>
    <col min="1" max="1" width="9.7109375" customWidth="1"/>
    <col min="2" max="2" width="40.140625" customWidth="1"/>
    <col min="3" max="3" width="7.7109375" style="68" customWidth="1"/>
    <col min="4" max="5" width="12.140625" customWidth="1"/>
    <col min="6" max="6" width="10.42578125" customWidth="1"/>
    <col min="7" max="8" width="13.42578125" customWidth="1"/>
    <col min="9" max="9" width="12.7109375" customWidth="1"/>
    <col min="10" max="10" width="8.7109375" customWidth="1"/>
    <col min="11" max="11" width="9.85546875" customWidth="1"/>
    <col min="12" max="12" width="1" style="31" customWidth="1"/>
    <col min="13" max="26" width="9.140625" customWidth="1"/>
    <col min="27" max="27" width="15.7109375" style="133" bestFit="1" customWidth="1"/>
  </cols>
  <sheetData>
    <row r="1" spans="1:27" x14ac:dyDescent="0.2">
      <c r="L1" s="71"/>
    </row>
    <row r="2" spans="1:27" x14ac:dyDescent="0.2">
      <c r="A2" s="3"/>
      <c r="B2" s="4"/>
      <c r="C2" s="126"/>
      <c r="D2" s="127"/>
      <c r="E2" s="5"/>
      <c r="F2" s="6"/>
      <c r="G2" s="7"/>
      <c r="H2" s="6"/>
      <c r="I2" s="6"/>
      <c r="J2" s="8"/>
      <c r="K2" s="2"/>
      <c r="L2" s="71"/>
      <c r="AA2" s="134"/>
    </row>
    <row r="3" spans="1:27" x14ac:dyDescent="0.2">
      <c r="A3" s="69"/>
      <c r="B3" s="69"/>
      <c r="C3" s="128" t="s">
        <v>274</v>
      </c>
      <c r="D3" s="129" t="s">
        <v>275</v>
      </c>
      <c r="E3" s="69"/>
      <c r="F3" s="69"/>
      <c r="G3" s="69"/>
      <c r="H3" s="69"/>
      <c r="I3" s="69"/>
      <c r="J3" s="69"/>
      <c r="K3" s="69"/>
      <c r="L3" s="71"/>
      <c r="AA3" s="135"/>
    </row>
    <row r="4" spans="1:27" ht="18.75" x14ac:dyDescent="0.2">
      <c r="A4" s="9" t="s">
        <v>295</v>
      </c>
      <c r="B4" s="9"/>
      <c r="C4" s="9"/>
      <c r="D4" s="9"/>
      <c r="E4" s="9"/>
      <c r="F4" s="9"/>
      <c r="G4" s="9"/>
      <c r="H4" s="9"/>
      <c r="L4" s="71"/>
      <c r="AA4" s="136"/>
    </row>
    <row r="5" spans="1:27" ht="13.5" x14ac:dyDescent="0.2">
      <c r="A5" s="32" t="s">
        <v>1121</v>
      </c>
      <c r="B5" s="33"/>
      <c r="C5" s="10"/>
      <c r="D5" s="10"/>
      <c r="E5" s="10"/>
      <c r="F5" s="10"/>
      <c r="G5" s="10"/>
      <c r="H5" s="10"/>
      <c r="L5" s="71"/>
      <c r="AA5" s="137"/>
    </row>
    <row r="6" spans="1:27" ht="12.75" customHeight="1" x14ac:dyDescent="0.2">
      <c r="A6" s="64"/>
      <c r="B6" s="64"/>
      <c r="C6" s="72"/>
      <c r="D6" s="64"/>
      <c r="E6" s="155" t="s">
        <v>288</v>
      </c>
      <c r="F6" s="156"/>
      <c r="G6" s="64"/>
      <c r="H6" s="64"/>
      <c r="I6" s="64"/>
      <c r="J6" s="64"/>
      <c r="K6" s="64"/>
      <c r="L6" s="71"/>
      <c r="AA6" s="138"/>
    </row>
    <row r="7" spans="1:27" x14ac:dyDescent="0.2">
      <c r="A7" s="34"/>
      <c r="B7" s="34"/>
      <c r="C7" s="35"/>
      <c r="D7" s="36"/>
      <c r="E7" s="36"/>
      <c r="F7" s="36"/>
      <c r="G7" s="36"/>
      <c r="H7" s="36"/>
      <c r="I7" s="37" t="s">
        <v>276</v>
      </c>
      <c r="J7" s="36"/>
      <c r="K7" s="37" t="s">
        <v>2</v>
      </c>
      <c r="L7" s="28"/>
      <c r="AA7" s="139"/>
    </row>
    <row r="8" spans="1:27" ht="30" customHeight="1" x14ac:dyDescent="0.2">
      <c r="A8" s="123" t="s">
        <v>297</v>
      </c>
      <c r="B8" s="73" t="s">
        <v>298</v>
      </c>
      <c r="C8" s="74" t="s">
        <v>0</v>
      </c>
      <c r="D8" s="38" t="s">
        <v>1</v>
      </c>
      <c r="E8" s="38" t="s">
        <v>2</v>
      </c>
      <c r="F8" s="38" t="s">
        <v>3</v>
      </c>
      <c r="G8" s="38" t="s">
        <v>4</v>
      </c>
      <c r="H8" s="38" t="s">
        <v>5</v>
      </c>
      <c r="I8" s="38" t="s">
        <v>5</v>
      </c>
      <c r="J8" s="38" t="s">
        <v>6</v>
      </c>
      <c r="K8" s="38" t="s">
        <v>277</v>
      </c>
      <c r="L8" s="28"/>
      <c r="AA8" s="140" t="s">
        <v>4</v>
      </c>
    </row>
    <row r="9" spans="1:27" x14ac:dyDescent="0.2">
      <c r="A9" s="39"/>
      <c r="B9" s="39"/>
      <c r="C9" s="12"/>
      <c r="D9" s="40"/>
      <c r="E9" s="40"/>
      <c r="F9" s="40"/>
      <c r="G9" s="40"/>
      <c r="H9" s="40"/>
      <c r="I9" s="75"/>
      <c r="J9" s="76"/>
      <c r="K9" s="41"/>
      <c r="L9" s="30"/>
      <c r="AA9" s="141"/>
    </row>
    <row r="10" spans="1:27" x14ac:dyDescent="0.2">
      <c r="A10" s="42" t="s">
        <v>7</v>
      </c>
      <c r="B10" s="77" t="s">
        <v>261</v>
      </c>
      <c r="L10" s="71"/>
    </row>
    <row r="11" spans="1:27" x14ac:dyDescent="0.2">
      <c r="A11" s="43" t="s">
        <v>278</v>
      </c>
      <c r="B11" s="57" t="s">
        <v>8</v>
      </c>
      <c r="C11" s="44">
        <v>74</v>
      </c>
      <c r="D11" s="78">
        <v>7200</v>
      </c>
      <c r="E11" s="45">
        <v>600</v>
      </c>
      <c r="F11" s="45">
        <f t="shared" ref="F11:F18" si="0">SUM(D11/12)</f>
        <v>600</v>
      </c>
      <c r="G11" s="45">
        <f>600+600+600+600+600+600+600+600</f>
        <v>4800</v>
      </c>
      <c r="H11" s="65">
        <f>(D11/12)*8</f>
        <v>4800</v>
      </c>
      <c r="I11" s="79">
        <f t="shared" ref="I11:I19" si="1">G11-H11</f>
        <v>0</v>
      </c>
      <c r="J11" s="80">
        <f t="shared" ref="J11:J18" si="2">G11/H11</f>
        <v>1</v>
      </c>
      <c r="K11" s="81">
        <f t="shared" ref="K11:K18" si="3">G11/C11</f>
        <v>64.86486486486487</v>
      </c>
      <c r="L11" s="71"/>
      <c r="AA11" s="142">
        <f>600+600+600+600+600+600+600+600</f>
        <v>4800</v>
      </c>
    </row>
    <row r="12" spans="1:27" x14ac:dyDescent="0.2">
      <c r="A12" s="43" t="s">
        <v>9</v>
      </c>
      <c r="B12" s="43" t="s">
        <v>10</v>
      </c>
      <c r="C12" s="44">
        <v>168</v>
      </c>
      <c r="D12" s="82">
        <v>7000</v>
      </c>
      <c r="E12" s="45"/>
      <c r="F12" s="45">
        <f t="shared" si="0"/>
        <v>583.33333333333337</v>
      </c>
      <c r="G12" s="45">
        <f>3500.04</f>
        <v>3500.04</v>
      </c>
      <c r="H12" s="65">
        <f t="shared" ref="H12:H18" si="4">(D12/12)*8</f>
        <v>4666.666666666667</v>
      </c>
      <c r="I12" s="79">
        <f t="shared" si="1"/>
        <v>-1166.626666666667</v>
      </c>
      <c r="J12" s="80">
        <f t="shared" si="2"/>
        <v>0.75000857142857136</v>
      </c>
      <c r="K12" s="81">
        <f t="shared" si="3"/>
        <v>20.833571428571428</v>
      </c>
      <c r="L12" s="71"/>
      <c r="AA12" s="142">
        <f>3500.04</f>
        <v>3500.04</v>
      </c>
    </row>
    <row r="13" spans="1:27" x14ac:dyDescent="0.2">
      <c r="A13" s="43" t="s">
        <v>11</v>
      </c>
      <c r="B13" s="43" t="s">
        <v>12</v>
      </c>
      <c r="C13" s="44">
        <v>234</v>
      </c>
      <c r="D13" s="82">
        <v>35000</v>
      </c>
      <c r="E13" s="45">
        <v>2916.67</v>
      </c>
      <c r="F13" s="45">
        <f t="shared" si="0"/>
        <v>2916.6666666666665</v>
      </c>
      <c r="G13" s="45">
        <f>2916.67+2916.67+2916.67+2916.67+2916.67+2916.67+2916.67+2916.67+2916.67</f>
        <v>26250.03</v>
      </c>
      <c r="H13" s="65">
        <f t="shared" si="4"/>
        <v>23333.333333333332</v>
      </c>
      <c r="I13" s="79">
        <f t="shared" si="1"/>
        <v>2916.6966666666667</v>
      </c>
      <c r="J13" s="80">
        <f t="shared" si="2"/>
        <v>1.1250012857142857</v>
      </c>
      <c r="K13" s="81">
        <f t="shared" si="3"/>
        <v>112.17961538461537</v>
      </c>
      <c r="L13" s="71"/>
      <c r="AA13" s="142">
        <f>2916.67+2916.67+2916.67+2916.67+2916.67+2916.67+2916.67+2916.67+2916.67</f>
        <v>26250.03</v>
      </c>
    </row>
    <row r="14" spans="1:27" x14ac:dyDescent="0.2">
      <c r="A14" s="43" t="s">
        <v>13</v>
      </c>
      <c r="B14" s="43" t="s">
        <v>14</v>
      </c>
      <c r="C14" s="44">
        <v>376</v>
      </c>
      <c r="D14" s="82">
        <v>9000</v>
      </c>
      <c r="E14" s="45">
        <v>416.67</v>
      </c>
      <c r="F14" s="45">
        <f t="shared" si="0"/>
        <v>750</v>
      </c>
      <c r="G14" s="45">
        <f>416.67+416.67+416.66+416.67+416.67+416.66+416.66+416.67</f>
        <v>3333.33</v>
      </c>
      <c r="H14" s="65">
        <f t="shared" si="4"/>
        <v>6000</v>
      </c>
      <c r="I14" s="79">
        <f t="shared" si="1"/>
        <v>-2666.67</v>
      </c>
      <c r="J14" s="80">
        <f t="shared" si="2"/>
        <v>0.55555500000000002</v>
      </c>
      <c r="K14" s="81">
        <f t="shared" si="3"/>
        <v>8.8652393617021268</v>
      </c>
      <c r="L14" s="71"/>
      <c r="AA14" s="142">
        <f>416.67+416.67+416.66+416.67+416.67+416.66+416.66+416.67</f>
        <v>3333.33</v>
      </c>
    </row>
    <row r="15" spans="1:27" x14ac:dyDescent="0.2">
      <c r="A15" s="43" t="s">
        <v>19</v>
      </c>
      <c r="B15" s="43" t="s">
        <v>20</v>
      </c>
      <c r="C15" s="44">
        <v>5</v>
      </c>
      <c r="D15" s="82">
        <v>2400</v>
      </c>
      <c r="E15" s="45"/>
      <c r="F15" s="45">
        <f t="shared" si="0"/>
        <v>200</v>
      </c>
      <c r="G15" s="45">
        <f>622.2+556.8</f>
        <v>1179</v>
      </c>
      <c r="H15" s="65">
        <f t="shared" si="4"/>
        <v>1600</v>
      </c>
      <c r="I15" s="79">
        <f t="shared" si="1"/>
        <v>-421</v>
      </c>
      <c r="J15" s="80">
        <f t="shared" si="2"/>
        <v>0.73687499999999995</v>
      </c>
      <c r="K15" s="81">
        <f t="shared" si="3"/>
        <v>235.8</v>
      </c>
      <c r="L15" s="71"/>
      <c r="AA15" s="142">
        <f>622.2+556.8</f>
        <v>1179</v>
      </c>
    </row>
    <row r="16" spans="1:27" x14ac:dyDescent="0.2">
      <c r="A16" s="43" t="s">
        <v>15</v>
      </c>
      <c r="B16" s="43" t="s">
        <v>16</v>
      </c>
      <c r="C16" s="44">
        <v>30</v>
      </c>
      <c r="D16" s="82">
        <v>2500</v>
      </c>
      <c r="E16" s="45"/>
      <c r="F16" s="45">
        <f t="shared" si="0"/>
        <v>208.33333333333334</v>
      </c>
      <c r="G16" s="45"/>
      <c r="H16" s="65">
        <f t="shared" si="4"/>
        <v>1666.6666666666667</v>
      </c>
      <c r="I16" s="79">
        <f t="shared" si="1"/>
        <v>-1666.6666666666667</v>
      </c>
      <c r="J16" s="80">
        <f t="shared" si="2"/>
        <v>0</v>
      </c>
      <c r="K16" s="81">
        <f t="shared" si="3"/>
        <v>0</v>
      </c>
      <c r="L16" s="71"/>
      <c r="AA16" s="142"/>
    </row>
    <row r="17" spans="1:27" x14ac:dyDescent="0.2">
      <c r="A17" s="43" t="s">
        <v>17</v>
      </c>
      <c r="B17" s="43" t="s">
        <v>18</v>
      </c>
      <c r="C17" s="44">
        <v>348</v>
      </c>
      <c r="D17" s="82">
        <v>26000</v>
      </c>
      <c r="E17" s="45"/>
      <c r="F17" s="45">
        <f t="shared" si="0"/>
        <v>2166.6666666666665</v>
      </c>
      <c r="G17" s="45">
        <f>2166.66+2166.66+2166.66+2166.66+2166.66+2166.66+2166.66+2166.66</f>
        <v>17333.28</v>
      </c>
      <c r="H17" s="65">
        <f t="shared" si="4"/>
        <v>17333.333333333332</v>
      </c>
      <c r="I17" s="79">
        <f t="shared" si="1"/>
        <v>-5.3333333333284827E-2</v>
      </c>
      <c r="J17" s="80">
        <f t="shared" si="2"/>
        <v>0.99999692307692312</v>
      </c>
      <c r="K17" s="81">
        <f t="shared" si="3"/>
        <v>49.80827586206896</v>
      </c>
      <c r="L17" s="71"/>
      <c r="AA17" s="142">
        <f>2166.66+2166.66+2166.66+2166.66+2166.66+2166.66+2166.66+2166.66</f>
        <v>17333.28</v>
      </c>
    </row>
    <row r="18" spans="1:27" x14ac:dyDescent="0.2">
      <c r="A18" s="43" t="s">
        <v>99</v>
      </c>
      <c r="B18" s="43" t="s">
        <v>100</v>
      </c>
      <c r="C18" s="46">
        <v>278</v>
      </c>
      <c r="D18" s="83">
        <v>57000</v>
      </c>
      <c r="E18" s="47">
        <v>4391</v>
      </c>
      <c r="F18" s="47">
        <f t="shared" si="0"/>
        <v>4750</v>
      </c>
      <c r="G18" s="47">
        <f>5239+7904+9077+6340+4325+4154+7918+4391</f>
        <v>49348</v>
      </c>
      <c r="H18" s="48">
        <f t="shared" si="4"/>
        <v>38000</v>
      </c>
      <c r="I18" s="84">
        <f t="shared" si="1"/>
        <v>11348</v>
      </c>
      <c r="J18" s="85">
        <f t="shared" si="2"/>
        <v>1.2986315789473684</v>
      </c>
      <c r="K18" s="86">
        <f t="shared" si="3"/>
        <v>177.51079136690649</v>
      </c>
      <c r="L18" s="71"/>
      <c r="AA18" s="143">
        <f>5239+7904+9077+6340+4325+4154+7918+4391</f>
        <v>49348</v>
      </c>
    </row>
    <row r="19" spans="1:27" x14ac:dyDescent="0.2">
      <c r="A19" s="11"/>
      <c r="B19" s="49" t="s">
        <v>21</v>
      </c>
      <c r="C19" s="53">
        <f t="shared" ref="C19:H19" si="5">SUM(C11:C18)</f>
        <v>1513</v>
      </c>
      <c r="D19" s="54">
        <f t="shared" si="5"/>
        <v>146100</v>
      </c>
      <c r="E19" s="54">
        <f t="shared" si="5"/>
        <v>8324.34</v>
      </c>
      <c r="F19" s="54">
        <f t="shared" si="5"/>
        <v>12175</v>
      </c>
      <c r="G19" s="54">
        <f t="shared" si="5"/>
        <v>105743.67999999999</v>
      </c>
      <c r="H19" s="54">
        <f t="shared" si="5"/>
        <v>97400</v>
      </c>
      <c r="I19" s="94">
        <f t="shared" si="1"/>
        <v>8343.679999999993</v>
      </c>
      <c r="J19" s="95">
        <f>H19/G19</f>
        <v>0.92109523708650964</v>
      </c>
      <c r="K19" s="55">
        <f t="shared" ref="K19" si="6">G19/C19</f>
        <v>69.890072703238587</v>
      </c>
      <c r="L19" s="29"/>
      <c r="AA19" s="144">
        <f t="shared" ref="AA19" si="7">SUM(AA11:AA18)</f>
        <v>105743.67999999999</v>
      </c>
    </row>
    <row r="20" spans="1:27" x14ac:dyDescent="0.2">
      <c r="C20" s="13"/>
      <c r="D20" s="40"/>
      <c r="E20" s="40"/>
      <c r="F20" s="40"/>
      <c r="G20" s="40"/>
      <c r="H20" s="54"/>
      <c r="I20" s="75"/>
      <c r="J20" s="87"/>
      <c r="K20" s="88"/>
      <c r="L20" s="71"/>
      <c r="AA20" s="141"/>
    </row>
    <row r="21" spans="1:27" x14ac:dyDescent="0.2">
      <c r="A21" s="42" t="s">
        <v>22</v>
      </c>
      <c r="B21" s="77" t="s">
        <v>262</v>
      </c>
      <c r="D21" s="50"/>
      <c r="E21" s="50"/>
      <c r="F21" s="50"/>
      <c r="G21" s="50"/>
      <c r="H21" s="66"/>
      <c r="I21" s="89"/>
      <c r="J21" s="90"/>
      <c r="K21" s="91"/>
      <c r="L21" s="71"/>
      <c r="AA21" s="145"/>
    </row>
    <row r="22" spans="1:27" x14ac:dyDescent="0.2">
      <c r="A22" s="43" t="s">
        <v>34</v>
      </c>
      <c r="B22" s="43" t="s">
        <v>35</v>
      </c>
      <c r="C22" s="92">
        <v>510</v>
      </c>
      <c r="D22" s="45">
        <v>50000</v>
      </c>
      <c r="E22" s="45">
        <v>4166.67</v>
      </c>
      <c r="F22" s="45">
        <f t="shared" ref="F22:F30" si="8">SUM(D22/12)</f>
        <v>4166.666666666667</v>
      </c>
      <c r="G22" s="45">
        <f>3750+4583.34+4166.67+4166.67+4166.67+4166.67+4166.67+4166.67</f>
        <v>33333.359999999993</v>
      </c>
      <c r="H22" s="65">
        <f t="shared" ref="H22:H30" si="9">(D22/12)*8</f>
        <v>33333.333333333336</v>
      </c>
      <c r="I22" s="79">
        <f t="shared" ref="I22:I31" si="10">G22-H22</f>
        <v>2.6666666657547466E-2</v>
      </c>
      <c r="J22" s="80">
        <f t="shared" ref="J22:J31" si="11">G22/H22</f>
        <v>1.0000007999999998</v>
      </c>
      <c r="K22" s="81">
        <f t="shared" ref="K22:K30" si="12">G22/C22</f>
        <v>65.359529411764697</v>
      </c>
      <c r="L22" s="71"/>
      <c r="AA22" s="142">
        <f>3750+4583.34+4166.67+4166.67+4166.67+4166.67+4166.67+4166.67</f>
        <v>33333.359999999993</v>
      </c>
    </row>
    <row r="23" spans="1:27" x14ac:dyDescent="0.2">
      <c r="A23" s="43" t="s">
        <v>23</v>
      </c>
      <c r="B23" s="43" t="s">
        <v>24</v>
      </c>
      <c r="C23" s="92">
        <v>89</v>
      </c>
      <c r="D23" s="45">
        <v>20000</v>
      </c>
      <c r="E23" s="45"/>
      <c r="F23" s="45">
        <f t="shared" si="8"/>
        <v>1666.6666666666667</v>
      </c>
      <c r="G23" s="45">
        <f>1666.67+1666.66+1666.67+1666.67+1666.67+1666.67+1666.67</f>
        <v>11666.68</v>
      </c>
      <c r="H23" s="65">
        <f t="shared" si="9"/>
        <v>13333.333333333334</v>
      </c>
      <c r="I23" s="79">
        <f t="shared" si="10"/>
        <v>-1666.6533333333336</v>
      </c>
      <c r="J23" s="80">
        <f t="shared" si="11"/>
        <v>0.87500100000000003</v>
      </c>
      <c r="K23" s="81">
        <f t="shared" si="12"/>
        <v>131.08629213483147</v>
      </c>
      <c r="L23" s="71"/>
      <c r="AA23" s="142">
        <f>1666.67+1666.66+1666.67+1666.67+1666.67+1666.67+1666.67</f>
        <v>11666.68</v>
      </c>
    </row>
    <row r="24" spans="1:27" x14ac:dyDescent="0.2">
      <c r="A24" s="116" t="s">
        <v>291</v>
      </c>
      <c r="B24" s="43" t="s">
        <v>290</v>
      </c>
      <c r="C24" s="92">
        <v>5</v>
      </c>
      <c r="D24" s="45">
        <v>6271</v>
      </c>
      <c r="E24" s="45"/>
      <c r="F24" s="45">
        <f t="shared" si="8"/>
        <v>522.58333333333337</v>
      </c>
      <c r="G24" s="45"/>
      <c r="H24" s="65">
        <f t="shared" si="9"/>
        <v>4180.666666666667</v>
      </c>
      <c r="I24" s="79">
        <f t="shared" si="10"/>
        <v>-4180.666666666667</v>
      </c>
      <c r="J24" s="80">
        <f t="shared" si="11"/>
        <v>0</v>
      </c>
      <c r="K24" s="70">
        <f t="shared" si="12"/>
        <v>0</v>
      </c>
      <c r="L24" s="71"/>
      <c r="AA24" s="142"/>
    </row>
    <row r="25" spans="1:27" x14ac:dyDescent="0.2">
      <c r="A25" s="43" t="s">
        <v>25</v>
      </c>
      <c r="B25" s="43" t="s">
        <v>26</v>
      </c>
      <c r="C25" s="92">
        <v>41</v>
      </c>
      <c r="D25" s="45">
        <v>8250</v>
      </c>
      <c r="E25" s="45">
        <v>687.5</v>
      </c>
      <c r="F25" s="45">
        <f t="shared" si="8"/>
        <v>687.5</v>
      </c>
      <c r="G25" s="45">
        <f>687.5+687.5+687.5+687.5+687.5+687.5+687.5+687.5+687.5</f>
        <v>6187.5</v>
      </c>
      <c r="H25" s="65">
        <f t="shared" si="9"/>
        <v>5500</v>
      </c>
      <c r="I25" s="79">
        <f t="shared" si="10"/>
        <v>687.5</v>
      </c>
      <c r="J25" s="80">
        <f t="shared" si="11"/>
        <v>1.125</v>
      </c>
      <c r="K25" s="81">
        <f t="shared" si="12"/>
        <v>150.91463414634146</v>
      </c>
      <c r="L25" s="71"/>
      <c r="AA25" s="142">
        <f>687.5+687.5+687.5+687.5+687.5+687.5+687.5+687.5+687.5</f>
        <v>6187.5</v>
      </c>
    </row>
    <row r="26" spans="1:27" x14ac:dyDescent="0.2">
      <c r="A26" s="43" t="s">
        <v>36</v>
      </c>
      <c r="B26" s="43" t="s">
        <v>271</v>
      </c>
      <c r="C26" s="92">
        <v>42</v>
      </c>
      <c r="D26" s="45">
        <v>1200</v>
      </c>
      <c r="E26" s="45">
        <v>200</v>
      </c>
      <c r="F26" s="45">
        <f t="shared" si="8"/>
        <v>100</v>
      </c>
      <c r="G26" s="45">
        <f>200+200+200+200+200</f>
        <v>1000</v>
      </c>
      <c r="H26" s="65">
        <f t="shared" si="9"/>
        <v>800</v>
      </c>
      <c r="I26" s="79">
        <f t="shared" si="10"/>
        <v>200</v>
      </c>
      <c r="J26" s="80">
        <f t="shared" si="11"/>
        <v>1.25</v>
      </c>
      <c r="K26" s="81">
        <f t="shared" si="12"/>
        <v>23.80952380952381</v>
      </c>
      <c r="L26" s="71"/>
      <c r="AA26" s="142">
        <f>200+200+200+200+200</f>
        <v>1000</v>
      </c>
    </row>
    <row r="27" spans="1:27" x14ac:dyDescent="0.2">
      <c r="A27" s="43" t="s">
        <v>37</v>
      </c>
      <c r="B27" s="43" t="s">
        <v>38</v>
      </c>
      <c r="C27" s="92">
        <v>150</v>
      </c>
      <c r="D27" s="45">
        <v>10500</v>
      </c>
      <c r="E27" s="45">
        <v>875</v>
      </c>
      <c r="F27" s="45">
        <f t="shared" si="8"/>
        <v>875</v>
      </c>
      <c r="G27" s="45">
        <f>833.33+916.67+875+875+875+875+875+875</f>
        <v>7000</v>
      </c>
      <c r="H27" s="65">
        <f t="shared" si="9"/>
        <v>7000</v>
      </c>
      <c r="I27" s="79">
        <f t="shared" si="10"/>
        <v>0</v>
      </c>
      <c r="J27" s="80">
        <f t="shared" si="11"/>
        <v>1</v>
      </c>
      <c r="K27" s="81">
        <f t="shared" si="12"/>
        <v>46.666666666666664</v>
      </c>
      <c r="L27" s="71"/>
      <c r="AA27" s="142">
        <f>833.33+916.67+875+875+875+875+875+875</f>
        <v>7000</v>
      </c>
    </row>
    <row r="28" spans="1:27" x14ac:dyDescent="0.2">
      <c r="A28" s="43" t="s">
        <v>31</v>
      </c>
      <c r="B28" s="43" t="s">
        <v>32</v>
      </c>
      <c r="C28" s="92">
        <v>415</v>
      </c>
      <c r="D28" s="45">
        <v>37500</v>
      </c>
      <c r="E28" s="45">
        <v>6250</v>
      </c>
      <c r="F28" s="45">
        <f t="shared" si="8"/>
        <v>3125</v>
      </c>
      <c r="G28" s="45">
        <f>3125+3125+3125+3125+3125+3125+3125+3125</f>
        <v>25000</v>
      </c>
      <c r="H28" s="65">
        <f t="shared" si="9"/>
        <v>25000</v>
      </c>
      <c r="I28" s="79">
        <f t="shared" si="10"/>
        <v>0</v>
      </c>
      <c r="J28" s="80">
        <f t="shared" si="11"/>
        <v>1</v>
      </c>
      <c r="K28" s="81">
        <f t="shared" si="12"/>
        <v>60.24096385542169</v>
      </c>
      <c r="L28" s="71"/>
      <c r="AA28" s="142">
        <f>3125+3125+3125+3125+3125+3125+3125+3125</f>
        <v>25000</v>
      </c>
    </row>
    <row r="29" spans="1:27" x14ac:dyDescent="0.2">
      <c r="A29" s="43" t="s">
        <v>39</v>
      </c>
      <c r="B29" s="43" t="s">
        <v>40</v>
      </c>
      <c r="C29" s="92">
        <v>50</v>
      </c>
      <c r="D29" s="45">
        <v>800</v>
      </c>
      <c r="E29" s="45"/>
      <c r="F29" s="45">
        <f t="shared" si="8"/>
        <v>66.666666666666671</v>
      </c>
      <c r="G29" s="45"/>
      <c r="H29" s="65">
        <f t="shared" si="9"/>
        <v>533.33333333333337</v>
      </c>
      <c r="I29" s="79">
        <f t="shared" si="10"/>
        <v>-533.33333333333337</v>
      </c>
      <c r="J29" s="115">
        <f t="shared" si="11"/>
        <v>0</v>
      </c>
      <c r="K29" s="81">
        <f t="shared" si="12"/>
        <v>0</v>
      </c>
      <c r="L29" s="71"/>
      <c r="AA29" s="142"/>
    </row>
    <row r="30" spans="1:27" x14ac:dyDescent="0.2">
      <c r="A30" s="43" t="s">
        <v>33</v>
      </c>
      <c r="B30" s="43" t="s">
        <v>272</v>
      </c>
      <c r="C30" s="93">
        <v>319</v>
      </c>
      <c r="D30" s="47">
        <v>18000</v>
      </c>
      <c r="E30" s="47">
        <v>1500</v>
      </c>
      <c r="F30" s="47">
        <f t="shared" si="8"/>
        <v>1500</v>
      </c>
      <c r="G30" s="47">
        <f>3000+1500+1500+1500+1500+1500+1500</f>
        <v>12000</v>
      </c>
      <c r="H30" s="48">
        <f t="shared" si="9"/>
        <v>12000</v>
      </c>
      <c r="I30" s="84">
        <f t="shared" si="10"/>
        <v>0</v>
      </c>
      <c r="J30" s="85">
        <f t="shared" si="11"/>
        <v>1</v>
      </c>
      <c r="K30" s="86">
        <f t="shared" si="12"/>
        <v>37.61755485893417</v>
      </c>
      <c r="L30" s="71"/>
      <c r="AA30" s="143">
        <f>3000+1500+1500+1500+1500+1500+1500</f>
        <v>12000</v>
      </c>
    </row>
    <row r="31" spans="1:27" x14ac:dyDescent="0.2">
      <c r="A31" s="51"/>
      <c r="B31" s="52" t="s">
        <v>41</v>
      </c>
      <c r="C31" s="53">
        <f t="shared" ref="C31:H31" si="13">SUM(C22:C30)</f>
        <v>1621</v>
      </c>
      <c r="D31" s="54">
        <f t="shared" si="13"/>
        <v>152521</v>
      </c>
      <c r="E31" s="54">
        <f t="shared" si="13"/>
        <v>13679.17</v>
      </c>
      <c r="F31" s="54">
        <f t="shared" si="13"/>
        <v>12710.083333333334</v>
      </c>
      <c r="G31" s="54">
        <f t="shared" si="13"/>
        <v>96187.54</v>
      </c>
      <c r="H31" s="54">
        <f t="shared" si="13"/>
        <v>101680.66666666667</v>
      </c>
      <c r="I31" s="94">
        <f t="shared" si="10"/>
        <v>-5493.1266666666779</v>
      </c>
      <c r="J31" s="95">
        <f t="shared" si="11"/>
        <v>0.94597668517777866</v>
      </c>
      <c r="K31" s="55">
        <f t="shared" ref="K31" si="14">G31/C31</f>
        <v>59.338396051819863</v>
      </c>
      <c r="L31" s="30"/>
      <c r="AA31" s="144">
        <f t="shared" ref="AA31" si="15">SUM(AA22:AA30)</f>
        <v>96187.54</v>
      </c>
    </row>
    <row r="32" spans="1:27" x14ac:dyDescent="0.2">
      <c r="C32" s="13"/>
      <c r="D32" s="40"/>
      <c r="E32" s="40"/>
      <c r="F32" s="40"/>
      <c r="G32" s="40"/>
      <c r="H32" s="54"/>
      <c r="I32" s="75"/>
      <c r="J32" s="87"/>
      <c r="K32" s="96"/>
      <c r="L32" s="71"/>
      <c r="AA32" s="141"/>
    </row>
    <row r="33" spans="1:27" x14ac:dyDescent="0.2">
      <c r="A33" s="42" t="s">
        <v>42</v>
      </c>
      <c r="B33" s="77" t="s">
        <v>263</v>
      </c>
      <c r="D33" s="50"/>
      <c r="E33" s="50"/>
      <c r="F33" s="50"/>
      <c r="G33" s="50"/>
      <c r="H33" s="66"/>
      <c r="I33" s="89"/>
      <c r="J33" s="90"/>
      <c r="K33" s="97"/>
      <c r="L33" s="71"/>
      <c r="AA33" s="145"/>
    </row>
    <row r="34" spans="1:27" x14ac:dyDescent="0.2">
      <c r="A34" s="43" t="s">
        <v>46</v>
      </c>
      <c r="B34" s="43" t="s">
        <v>47</v>
      </c>
      <c r="C34" s="56">
        <v>66</v>
      </c>
      <c r="D34" s="45">
        <v>6500</v>
      </c>
      <c r="E34" s="45">
        <v>541.66999999999996</v>
      </c>
      <c r="F34" s="45">
        <f t="shared" ref="F34:F42" si="16">SUM(D34/12)</f>
        <v>541.66666666666663</v>
      </c>
      <c r="G34" s="45">
        <f>541.67+541.67+541.67+541.67+541.67+541.67+541.67</f>
        <v>3791.69</v>
      </c>
      <c r="H34" s="65">
        <f t="shared" ref="H34:H42" si="17">(D34/12)*8</f>
        <v>4333.333333333333</v>
      </c>
      <c r="I34" s="79">
        <f t="shared" ref="I34:I43" si="18">G34-H34</f>
        <v>-541.64333333333298</v>
      </c>
      <c r="J34" s="80">
        <f t="shared" ref="J34:J43" si="19">G34/H34</f>
        <v>0.87500538461538468</v>
      </c>
      <c r="K34" s="81">
        <f t="shared" ref="K34:K42" si="20">G34/C34</f>
        <v>57.449848484848488</v>
      </c>
      <c r="L34" s="71"/>
      <c r="AA34" s="142">
        <f>541.67+541.67+541.67+541.67+541.67+541.67+541.67</f>
        <v>3791.69</v>
      </c>
    </row>
    <row r="35" spans="1:27" x14ac:dyDescent="0.2">
      <c r="A35" s="43" t="s">
        <v>48</v>
      </c>
      <c r="B35" s="43" t="s">
        <v>49</v>
      </c>
      <c r="C35" s="56">
        <v>309</v>
      </c>
      <c r="D35" s="45">
        <v>20000</v>
      </c>
      <c r="E35" s="45"/>
      <c r="F35" s="45">
        <f t="shared" si="16"/>
        <v>1666.6666666666667</v>
      </c>
      <c r="G35" s="45">
        <f>5000+5000</f>
        <v>10000</v>
      </c>
      <c r="H35" s="65">
        <f t="shared" si="17"/>
        <v>13333.333333333334</v>
      </c>
      <c r="I35" s="79">
        <f t="shared" si="18"/>
        <v>-3333.3333333333339</v>
      </c>
      <c r="J35" s="80">
        <f t="shared" si="19"/>
        <v>0.75</v>
      </c>
      <c r="K35" s="81">
        <f t="shared" si="20"/>
        <v>32.362459546925564</v>
      </c>
      <c r="L35" s="71"/>
      <c r="AA35" s="142">
        <f>5000+5000</f>
        <v>10000</v>
      </c>
    </row>
    <row r="36" spans="1:27" x14ac:dyDescent="0.2">
      <c r="A36" s="43" t="s">
        <v>50</v>
      </c>
      <c r="B36" s="43" t="s">
        <v>51</v>
      </c>
      <c r="C36" s="56">
        <v>77</v>
      </c>
      <c r="D36" s="45">
        <v>3000</v>
      </c>
      <c r="E36" s="45">
        <v>250</v>
      </c>
      <c r="F36" s="45">
        <f t="shared" si="16"/>
        <v>250</v>
      </c>
      <c r="G36" s="45">
        <f>250+250+250+250+250+250+250</f>
        <v>1750</v>
      </c>
      <c r="H36" s="65">
        <f t="shared" si="17"/>
        <v>2000</v>
      </c>
      <c r="I36" s="79">
        <f t="shared" si="18"/>
        <v>-250</v>
      </c>
      <c r="J36" s="80">
        <f t="shared" si="19"/>
        <v>0.875</v>
      </c>
      <c r="K36" s="81">
        <f t="shared" si="20"/>
        <v>22.727272727272727</v>
      </c>
      <c r="L36" s="71"/>
      <c r="AA36" s="142">
        <f>250+250+250+250+250+250+250</f>
        <v>1750</v>
      </c>
    </row>
    <row r="37" spans="1:27" x14ac:dyDescent="0.2">
      <c r="A37" s="43" t="s">
        <v>56</v>
      </c>
      <c r="B37" s="43" t="s">
        <v>57</v>
      </c>
      <c r="C37" s="56">
        <v>87</v>
      </c>
      <c r="D37" s="45">
        <v>3600</v>
      </c>
      <c r="E37" s="45">
        <v>300</v>
      </c>
      <c r="F37" s="45">
        <f t="shared" si="16"/>
        <v>300</v>
      </c>
      <c r="G37" s="45">
        <f>300+300+300+300+300+300</f>
        <v>1800</v>
      </c>
      <c r="H37" s="65">
        <f t="shared" si="17"/>
        <v>2400</v>
      </c>
      <c r="I37" s="79">
        <f t="shared" si="18"/>
        <v>-600</v>
      </c>
      <c r="J37" s="115">
        <f t="shared" si="19"/>
        <v>0.75</v>
      </c>
      <c r="K37" s="81">
        <f t="shared" si="20"/>
        <v>20.689655172413794</v>
      </c>
      <c r="L37" s="71"/>
      <c r="AA37" s="142">
        <f>300+300+300+300+300+300</f>
        <v>1800</v>
      </c>
    </row>
    <row r="38" spans="1:27" x14ac:dyDescent="0.2">
      <c r="A38" s="43" t="s">
        <v>45</v>
      </c>
      <c r="B38" s="43" t="s">
        <v>283</v>
      </c>
      <c r="C38" s="56">
        <v>45</v>
      </c>
      <c r="D38" s="45">
        <v>1200</v>
      </c>
      <c r="E38" s="45"/>
      <c r="F38" s="45">
        <f t="shared" si="16"/>
        <v>100</v>
      </c>
      <c r="G38" s="45"/>
      <c r="H38" s="65">
        <f t="shared" si="17"/>
        <v>800</v>
      </c>
      <c r="I38" s="79">
        <f t="shared" si="18"/>
        <v>-800</v>
      </c>
      <c r="J38" s="80">
        <f t="shared" si="19"/>
        <v>0</v>
      </c>
      <c r="K38" s="81">
        <f t="shared" si="20"/>
        <v>0</v>
      </c>
      <c r="L38" s="71"/>
      <c r="AA38" s="142"/>
    </row>
    <row r="39" spans="1:27" x14ac:dyDescent="0.2">
      <c r="A39" s="43" t="s">
        <v>43</v>
      </c>
      <c r="B39" s="43" t="s">
        <v>44</v>
      </c>
      <c r="C39" s="56">
        <v>137</v>
      </c>
      <c r="D39" s="45">
        <v>6504</v>
      </c>
      <c r="E39" s="45">
        <v>542</v>
      </c>
      <c r="F39" s="45">
        <f t="shared" si="16"/>
        <v>542</v>
      </c>
      <c r="G39" s="45">
        <f>500+584+542+542+542+542+542+542</f>
        <v>4336</v>
      </c>
      <c r="H39" s="65">
        <f t="shared" si="17"/>
        <v>4336</v>
      </c>
      <c r="I39" s="79">
        <f t="shared" si="18"/>
        <v>0</v>
      </c>
      <c r="J39" s="80">
        <f t="shared" si="19"/>
        <v>1</v>
      </c>
      <c r="K39" s="81">
        <f t="shared" si="20"/>
        <v>31.649635036496349</v>
      </c>
      <c r="L39" s="71"/>
      <c r="AA39" s="142">
        <f>500+584+542+542+542+542+542+542</f>
        <v>4336</v>
      </c>
    </row>
    <row r="40" spans="1:27" x14ac:dyDescent="0.2">
      <c r="A40" s="43" t="s">
        <v>52</v>
      </c>
      <c r="B40" s="43" t="s">
        <v>53</v>
      </c>
      <c r="C40" s="56">
        <v>26</v>
      </c>
      <c r="D40" s="45">
        <v>1200</v>
      </c>
      <c r="E40" s="45">
        <v>300</v>
      </c>
      <c r="F40" s="45">
        <f t="shared" si="16"/>
        <v>100</v>
      </c>
      <c r="G40" s="45">
        <f>300+320+300</f>
        <v>920</v>
      </c>
      <c r="H40" s="65">
        <f t="shared" si="17"/>
        <v>800</v>
      </c>
      <c r="I40" s="79">
        <f t="shared" si="18"/>
        <v>120</v>
      </c>
      <c r="J40" s="80">
        <f t="shared" si="19"/>
        <v>1.1499999999999999</v>
      </c>
      <c r="K40" s="81">
        <f t="shared" si="20"/>
        <v>35.384615384615387</v>
      </c>
      <c r="L40" s="71"/>
      <c r="AA40" s="142">
        <f>300+320+300</f>
        <v>920</v>
      </c>
    </row>
    <row r="41" spans="1:27" x14ac:dyDescent="0.2">
      <c r="A41" s="43" t="s">
        <v>54</v>
      </c>
      <c r="B41" s="57" t="s">
        <v>55</v>
      </c>
      <c r="C41" s="56">
        <v>219</v>
      </c>
      <c r="D41" s="45">
        <v>21000</v>
      </c>
      <c r="E41" s="45">
        <v>1521.16</v>
      </c>
      <c r="F41" s="45">
        <f t="shared" si="16"/>
        <v>1750</v>
      </c>
      <c r="G41" s="45">
        <f>1342.68+1526.05+1431.67+1302.21+1322.91+1387.97+1521.16</f>
        <v>9834.65</v>
      </c>
      <c r="H41" s="65">
        <f t="shared" si="17"/>
        <v>14000</v>
      </c>
      <c r="I41" s="79">
        <f t="shared" si="18"/>
        <v>-4165.3500000000004</v>
      </c>
      <c r="J41" s="80">
        <f t="shared" si="19"/>
        <v>0.70247499999999996</v>
      </c>
      <c r="K41" s="81">
        <f t="shared" si="20"/>
        <v>44.907077625570771</v>
      </c>
      <c r="L41" s="71"/>
      <c r="AA41" s="142">
        <f>1342.68+1526.05+1431.67+1302.21+1322.91+1387.97+1521.16</f>
        <v>9834.65</v>
      </c>
    </row>
    <row r="42" spans="1:27" x14ac:dyDescent="0.2">
      <c r="A42" s="116" t="s">
        <v>296</v>
      </c>
      <c r="B42" s="43" t="s">
        <v>292</v>
      </c>
      <c r="C42" s="58">
        <v>38</v>
      </c>
      <c r="D42" s="47">
        <v>1200</v>
      </c>
      <c r="E42" s="47">
        <v>100</v>
      </c>
      <c r="F42" s="47">
        <f t="shared" si="16"/>
        <v>100</v>
      </c>
      <c r="G42" s="47">
        <f>100+100+100+100+100+100+100</f>
        <v>700</v>
      </c>
      <c r="H42" s="48">
        <f t="shared" si="17"/>
        <v>800</v>
      </c>
      <c r="I42" s="84">
        <f t="shared" si="18"/>
        <v>-100</v>
      </c>
      <c r="J42" s="85">
        <f t="shared" si="19"/>
        <v>0.875</v>
      </c>
      <c r="K42" s="86">
        <f t="shared" si="20"/>
        <v>18.421052631578949</v>
      </c>
      <c r="L42" s="71"/>
      <c r="AA42" s="143">
        <f>100+100+100+100+100+100+100</f>
        <v>700</v>
      </c>
    </row>
    <row r="43" spans="1:27" x14ac:dyDescent="0.2">
      <c r="A43" s="51"/>
      <c r="B43" s="52" t="s">
        <v>58</v>
      </c>
      <c r="C43" s="53">
        <f t="shared" ref="C43:H43" si="21">SUM(C34:C42)</f>
        <v>1004</v>
      </c>
      <c r="D43" s="54">
        <f t="shared" si="21"/>
        <v>64204</v>
      </c>
      <c r="E43" s="54">
        <f t="shared" si="21"/>
        <v>3554.83</v>
      </c>
      <c r="F43" s="54">
        <f t="shared" si="21"/>
        <v>5350.3333333333339</v>
      </c>
      <c r="G43" s="54">
        <f t="shared" si="21"/>
        <v>33132.340000000004</v>
      </c>
      <c r="H43" s="54">
        <f t="shared" si="21"/>
        <v>42802.666666666672</v>
      </c>
      <c r="I43" s="94">
        <f t="shared" si="18"/>
        <v>-9670.3266666666677</v>
      </c>
      <c r="J43" s="95">
        <f t="shared" si="19"/>
        <v>0.77407186468132827</v>
      </c>
      <c r="K43" s="55">
        <f t="shared" ref="K43" si="22">G43/C43</f>
        <v>33.000338645418331</v>
      </c>
      <c r="L43" s="30"/>
      <c r="AA43" s="144">
        <f t="shared" ref="AA43" si="23">SUM(AA34:AA42)</f>
        <v>33132.340000000004</v>
      </c>
    </row>
    <row r="44" spans="1:27" x14ac:dyDescent="0.2">
      <c r="A44" s="1"/>
      <c r="B44" s="1"/>
      <c r="C44" s="12"/>
      <c r="D44" s="40"/>
      <c r="E44" s="40"/>
      <c r="F44" s="40"/>
      <c r="G44" s="40"/>
      <c r="H44" s="54"/>
      <c r="I44" s="75"/>
      <c r="J44" s="76"/>
      <c r="K44" s="41"/>
      <c r="L44" s="30"/>
      <c r="AA44" s="141"/>
    </row>
    <row r="45" spans="1:27" x14ac:dyDescent="0.2">
      <c r="A45" s="42" t="s">
        <v>59</v>
      </c>
      <c r="B45" s="77" t="s">
        <v>264</v>
      </c>
      <c r="D45" s="50"/>
      <c r="E45" s="50"/>
      <c r="F45" s="50"/>
      <c r="G45" s="50"/>
      <c r="H45" s="66"/>
      <c r="I45" s="89"/>
      <c r="J45" s="90"/>
      <c r="K45" s="97"/>
      <c r="L45" s="71"/>
      <c r="AA45" s="145"/>
    </row>
    <row r="46" spans="1:27" x14ac:dyDescent="0.2">
      <c r="A46" s="43" t="s">
        <v>60</v>
      </c>
      <c r="B46" s="43" t="s">
        <v>61</v>
      </c>
      <c r="C46" s="44">
        <v>61</v>
      </c>
      <c r="D46" s="82">
        <v>4800</v>
      </c>
      <c r="E46" s="45">
        <v>400</v>
      </c>
      <c r="F46" s="45">
        <f t="shared" ref="F46:F58" si="24">SUM(D46/12)</f>
        <v>400</v>
      </c>
      <c r="G46" s="45">
        <f>400+400+400+400+400+400+400+400</f>
        <v>3200</v>
      </c>
      <c r="H46" s="65">
        <f t="shared" ref="H46:H58" si="25">(D46/12)*8</f>
        <v>3200</v>
      </c>
      <c r="I46" s="79">
        <f t="shared" ref="I46:I59" si="26">G46-H46</f>
        <v>0</v>
      </c>
      <c r="J46" s="80">
        <f t="shared" ref="J46:J59" si="27">G46/H46</f>
        <v>1</v>
      </c>
      <c r="K46" s="81">
        <f t="shared" ref="K46:K58" si="28">G46/C46</f>
        <v>52.459016393442624</v>
      </c>
      <c r="L46" s="71"/>
      <c r="AA46" s="142">
        <f>400+400+400+400+400+400+400+400</f>
        <v>3200</v>
      </c>
    </row>
    <row r="47" spans="1:27" x14ac:dyDescent="0.2">
      <c r="A47" s="43" t="s">
        <v>62</v>
      </c>
      <c r="B47" s="43" t="s">
        <v>63</v>
      </c>
      <c r="C47" s="44">
        <v>50</v>
      </c>
      <c r="D47" s="82">
        <v>0</v>
      </c>
      <c r="E47" s="45"/>
      <c r="F47" s="45">
        <f t="shared" si="24"/>
        <v>0</v>
      </c>
      <c r="G47" s="45"/>
      <c r="H47" s="65">
        <f t="shared" si="25"/>
        <v>0</v>
      </c>
      <c r="I47" s="79">
        <f t="shared" si="26"/>
        <v>0</v>
      </c>
      <c r="J47" s="80">
        <v>0</v>
      </c>
      <c r="K47" s="81">
        <f t="shared" si="28"/>
        <v>0</v>
      </c>
      <c r="L47" s="71"/>
      <c r="AA47" s="142"/>
    </row>
    <row r="48" spans="1:27" x14ac:dyDescent="0.2">
      <c r="A48" s="43" t="s">
        <v>66</v>
      </c>
      <c r="B48" s="43" t="s">
        <v>67</v>
      </c>
      <c r="C48" s="44">
        <v>130</v>
      </c>
      <c r="D48" s="82">
        <v>4000</v>
      </c>
      <c r="E48" s="45">
        <v>333.33</v>
      </c>
      <c r="F48" s="45">
        <f t="shared" si="24"/>
        <v>333.33333333333331</v>
      </c>
      <c r="G48" s="45">
        <f>333.34+333.34+333.33+333.33+333.33+333.33+333.33+333.33</f>
        <v>2666.66</v>
      </c>
      <c r="H48" s="65">
        <f t="shared" si="25"/>
        <v>2666.6666666666665</v>
      </c>
      <c r="I48" s="79">
        <f t="shared" si="26"/>
        <v>-6.6666666666606034E-3</v>
      </c>
      <c r="J48" s="80">
        <f t="shared" si="27"/>
        <v>0.99999749999999998</v>
      </c>
      <c r="K48" s="81">
        <f t="shared" si="28"/>
        <v>20.51276923076923</v>
      </c>
      <c r="L48" s="71"/>
      <c r="AA48" s="142">
        <f>333.34+333.34+333.33+333.33+333.33+333.33+333.33+333.33</f>
        <v>2666.66</v>
      </c>
    </row>
    <row r="49" spans="1:27" x14ac:dyDescent="0.2">
      <c r="A49" s="43" t="s">
        <v>64</v>
      </c>
      <c r="B49" s="43" t="s">
        <v>65</v>
      </c>
      <c r="C49" s="44">
        <v>77</v>
      </c>
      <c r="D49" s="82">
        <v>600</v>
      </c>
      <c r="E49" s="45"/>
      <c r="F49" s="45">
        <f t="shared" si="24"/>
        <v>50</v>
      </c>
      <c r="G49" s="45"/>
      <c r="H49" s="65">
        <f t="shared" si="25"/>
        <v>400</v>
      </c>
      <c r="I49" s="79">
        <f t="shared" si="26"/>
        <v>-400</v>
      </c>
      <c r="J49" s="80">
        <f t="shared" si="27"/>
        <v>0</v>
      </c>
      <c r="K49" s="81">
        <f t="shared" si="28"/>
        <v>0</v>
      </c>
      <c r="L49" s="71"/>
      <c r="AA49" s="142"/>
    </row>
    <row r="50" spans="1:27" x14ac:dyDescent="0.2">
      <c r="A50" s="43" t="s">
        <v>150</v>
      </c>
      <c r="B50" s="43" t="s">
        <v>151</v>
      </c>
      <c r="C50" s="44">
        <v>25</v>
      </c>
      <c r="D50" s="82">
        <v>1200</v>
      </c>
      <c r="E50" s="45"/>
      <c r="F50" s="45">
        <f t="shared" si="24"/>
        <v>100</v>
      </c>
      <c r="G50" s="45"/>
      <c r="H50" s="65">
        <f t="shared" si="25"/>
        <v>800</v>
      </c>
      <c r="I50" s="79">
        <f t="shared" si="26"/>
        <v>-800</v>
      </c>
      <c r="J50" s="80">
        <f t="shared" si="27"/>
        <v>0</v>
      </c>
      <c r="K50" s="81">
        <f t="shared" si="28"/>
        <v>0</v>
      </c>
      <c r="L50" s="71"/>
      <c r="AA50" s="142"/>
    </row>
    <row r="51" spans="1:27" x14ac:dyDescent="0.2">
      <c r="A51" s="43" t="s">
        <v>27</v>
      </c>
      <c r="B51" s="43" t="s">
        <v>28</v>
      </c>
      <c r="C51" s="92">
        <v>85</v>
      </c>
      <c r="D51" s="45">
        <v>3000</v>
      </c>
      <c r="E51" s="45"/>
      <c r="F51" s="45">
        <f t="shared" si="24"/>
        <v>250</v>
      </c>
      <c r="G51" s="45">
        <f>750+750+750</f>
        <v>2250</v>
      </c>
      <c r="H51" s="65">
        <f t="shared" si="25"/>
        <v>2000</v>
      </c>
      <c r="I51" s="79">
        <f t="shared" si="26"/>
        <v>250</v>
      </c>
      <c r="J51" s="115">
        <f t="shared" si="27"/>
        <v>1.125</v>
      </c>
      <c r="K51" s="81">
        <f t="shared" si="28"/>
        <v>26.470588235294116</v>
      </c>
      <c r="L51" s="71"/>
      <c r="AA51" s="142">
        <f>750+750+750</f>
        <v>2250</v>
      </c>
    </row>
    <row r="52" spans="1:27" x14ac:dyDescent="0.2">
      <c r="A52" s="43" t="s">
        <v>29</v>
      </c>
      <c r="B52" s="43" t="s">
        <v>30</v>
      </c>
      <c r="C52" s="92">
        <v>51</v>
      </c>
      <c r="D52" s="45">
        <v>9600</v>
      </c>
      <c r="E52" s="45">
        <v>800</v>
      </c>
      <c r="F52" s="45">
        <f t="shared" si="24"/>
        <v>800</v>
      </c>
      <c r="G52" s="45">
        <f>1600+800+800+800+800+800+800</f>
        <v>6400</v>
      </c>
      <c r="H52" s="65">
        <f t="shared" si="25"/>
        <v>6400</v>
      </c>
      <c r="I52" s="79">
        <f t="shared" si="26"/>
        <v>0</v>
      </c>
      <c r="J52" s="80">
        <f t="shared" si="27"/>
        <v>1</v>
      </c>
      <c r="K52" s="81">
        <f t="shared" si="28"/>
        <v>125.49019607843137</v>
      </c>
      <c r="L52" s="71"/>
      <c r="AA52" s="142">
        <f>1600+800+800+800+800+800+800</f>
        <v>6400</v>
      </c>
    </row>
    <row r="53" spans="1:27" x14ac:dyDescent="0.2">
      <c r="A53" s="43" t="s">
        <v>68</v>
      </c>
      <c r="B53" s="43" t="s">
        <v>69</v>
      </c>
      <c r="C53" s="44">
        <v>34</v>
      </c>
      <c r="D53" s="82">
        <v>6000</v>
      </c>
      <c r="E53" s="45"/>
      <c r="F53" s="45">
        <f t="shared" si="24"/>
        <v>500</v>
      </c>
      <c r="G53" s="45"/>
      <c r="H53" s="65">
        <f t="shared" si="25"/>
        <v>4000</v>
      </c>
      <c r="I53" s="79">
        <f t="shared" si="26"/>
        <v>-4000</v>
      </c>
      <c r="J53" s="80">
        <f t="shared" si="27"/>
        <v>0</v>
      </c>
      <c r="K53" s="81">
        <f t="shared" si="28"/>
        <v>0</v>
      </c>
      <c r="L53" s="71"/>
      <c r="AA53" s="142"/>
    </row>
    <row r="54" spans="1:27" x14ac:dyDescent="0.2">
      <c r="A54" s="43" t="s">
        <v>70</v>
      </c>
      <c r="B54" s="43" t="s">
        <v>293</v>
      </c>
      <c r="C54" s="44">
        <v>111</v>
      </c>
      <c r="D54" s="82">
        <v>17250</v>
      </c>
      <c r="E54" s="45">
        <v>2875</v>
      </c>
      <c r="F54" s="45">
        <f t="shared" si="24"/>
        <v>1437.5</v>
      </c>
      <c r="G54" s="45">
        <f>1437.5+2875+2875+2875</f>
        <v>10062.5</v>
      </c>
      <c r="H54" s="65">
        <f t="shared" si="25"/>
        <v>11500</v>
      </c>
      <c r="I54" s="79">
        <f t="shared" si="26"/>
        <v>-1437.5</v>
      </c>
      <c r="J54" s="80">
        <f t="shared" si="27"/>
        <v>0.875</v>
      </c>
      <c r="K54" s="81">
        <f t="shared" si="28"/>
        <v>90.653153153153156</v>
      </c>
      <c r="L54" s="71"/>
      <c r="AA54" s="142">
        <f>1437.5+2875+2875+2875</f>
        <v>10062.5</v>
      </c>
    </row>
    <row r="55" spans="1:27" x14ac:dyDescent="0.2">
      <c r="A55" s="43" t="s">
        <v>71</v>
      </c>
      <c r="B55" s="43" t="s">
        <v>72</v>
      </c>
      <c r="C55" s="44">
        <v>307</v>
      </c>
      <c r="D55" s="82">
        <v>6000</v>
      </c>
      <c r="E55" s="45"/>
      <c r="F55" s="45">
        <f t="shared" si="24"/>
        <v>500</v>
      </c>
      <c r="G55" s="45">
        <f>1500+1500+1500</f>
        <v>4500</v>
      </c>
      <c r="H55" s="65">
        <f t="shared" si="25"/>
        <v>4000</v>
      </c>
      <c r="I55" s="79">
        <f t="shared" si="26"/>
        <v>500</v>
      </c>
      <c r="J55" s="80">
        <f t="shared" si="27"/>
        <v>1.125</v>
      </c>
      <c r="K55" s="81">
        <f t="shared" si="28"/>
        <v>14.657980456026058</v>
      </c>
      <c r="L55" s="71"/>
      <c r="AA55" s="142">
        <f>1500+1500+1500</f>
        <v>4500</v>
      </c>
    </row>
    <row r="56" spans="1:27" x14ac:dyDescent="0.2">
      <c r="A56" s="43" t="s">
        <v>77</v>
      </c>
      <c r="B56" s="43" t="s">
        <v>78</v>
      </c>
      <c r="C56" s="44">
        <v>345</v>
      </c>
      <c r="D56" s="82">
        <v>45000</v>
      </c>
      <c r="E56" s="45">
        <v>3750</v>
      </c>
      <c r="F56" s="45">
        <f t="shared" si="24"/>
        <v>3750</v>
      </c>
      <c r="G56" s="45">
        <f>3750+3750+3750+3750+3750+3750+3750+3750</f>
        <v>30000</v>
      </c>
      <c r="H56" s="65">
        <f t="shared" si="25"/>
        <v>30000</v>
      </c>
      <c r="I56" s="79">
        <f t="shared" si="26"/>
        <v>0</v>
      </c>
      <c r="J56" s="80">
        <f t="shared" si="27"/>
        <v>1</v>
      </c>
      <c r="K56" s="81">
        <f t="shared" si="28"/>
        <v>86.956521739130437</v>
      </c>
      <c r="L56" s="71"/>
      <c r="AA56" s="142">
        <f>3750+3750+3750+3750+3750+3750+3750+3750</f>
        <v>30000</v>
      </c>
    </row>
    <row r="57" spans="1:27" x14ac:dyDescent="0.2">
      <c r="A57" s="43" t="s">
        <v>73</v>
      </c>
      <c r="B57" s="43" t="s">
        <v>74</v>
      </c>
      <c r="C57" s="44">
        <v>120</v>
      </c>
      <c r="D57" s="82">
        <v>2500</v>
      </c>
      <c r="E57" s="45"/>
      <c r="F57" s="45">
        <f t="shared" si="24"/>
        <v>208.33333333333334</v>
      </c>
      <c r="G57" s="45">
        <f>210+210+210+210+210+210+210+210</f>
        <v>1680</v>
      </c>
      <c r="H57" s="65">
        <f t="shared" si="25"/>
        <v>1666.6666666666667</v>
      </c>
      <c r="I57" s="79">
        <f t="shared" si="26"/>
        <v>13.333333333333258</v>
      </c>
      <c r="J57" s="80">
        <f t="shared" si="27"/>
        <v>1.008</v>
      </c>
      <c r="K57" s="81">
        <f t="shared" si="28"/>
        <v>14</v>
      </c>
      <c r="L57" s="71"/>
      <c r="AA57" s="142">
        <f>210+210+210+210+210+210+210+210</f>
        <v>1680</v>
      </c>
    </row>
    <row r="58" spans="1:27" x14ac:dyDescent="0.2">
      <c r="A58" s="43" t="s">
        <v>75</v>
      </c>
      <c r="B58" s="43" t="s">
        <v>76</v>
      </c>
      <c r="C58" s="46">
        <v>49</v>
      </c>
      <c r="D58" s="98">
        <v>2500</v>
      </c>
      <c r="E58" s="47"/>
      <c r="F58" s="47">
        <f t="shared" si="24"/>
        <v>208.33333333333334</v>
      </c>
      <c r="G58" s="47">
        <f>625.02+625.02+625.02</f>
        <v>1875.06</v>
      </c>
      <c r="H58" s="48">
        <f t="shared" si="25"/>
        <v>1666.6666666666667</v>
      </c>
      <c r="I58" s="84">
        <f t="shared" si="26"/>
        <v>208.3933333333332</v>
      </c>
      <c r="J58" s="85">
        <f t="shared" si="27"/>
        <v>1.1250359999999999</v>
      </c>
      <c r="K58" s="86">
        <f t="shared" si="28"/>
        <v>38.2665306122449</v>
      </c>
      <c r="L58" s="71"/>
      <c r="AA58" s="143">
        <f>625.02+625.02+625.02</f>
        <v>1875.06</v>
      </c>
    </row>
    <row r="59" spans="1:27" x14ac:dyDescent="0.2">
      <c r="A59" s="51"/>
      <c r="B59" s="52" t="s">
        <v>79</v>
      </c>
      <c r="C59" s="53">
        <f t="shared" ref="C59:H59" si="29">SUM(C46:C58)</f>
        <v>1445</v>
      </c>
      <c r="D59" s="54">
        <f t="shared" si="29"/>
        <v>102450</v>
      </c>
      <c r="E59" s="54">
        <f t="shared" si="29"/>
        <v>8158.33</v>
      </c>
      <c r="F59" s="54">
        <f t="shared" si="29"/>
        <v>8537.5</v>
      </c>
      <c r="G59" s="54">
        <f t="shared" si="29"/>
        <v>62634.22</v>
      </c>
      <c r="H59" s="54">
        <f t="shared" si="29"/>
        <v>68300</v>
      </c>
      <c r="I59" s="94">
        <f t="shared" si="26"/>
        <v>-5665.7799999999988</v>
      </c>
      <c r="J59" s="95">
        <f t="shared" si="27"/>
        <v>0.91704568081991222</v>
      </c>
      <c r="K59" s="55">
        <f t="shared" ref="K59" si="30">G59/C59</f>
        <v>43.345480968858134</v>
      </c>
      <c r="L59" s="30"/>
      <c r="AA59" s="144">
        <f t="shared" ref="AA59" si="31">SUM(AA46:AA58)</f>
        <v>62634.22</v>
      </c>
    </row>
    <row r="60" spans="1:27" ht="8.25" customHeight="1" x14ac:dyDescent="0.2">
      <c r="C60" s="13"/>
      <c r="D60" s="40"/>
      <c r="E60" s="40"/>
      <c r="F60" s="40"/>
      <c r="G60" s="40"/>
      <c r="H60" s="54"/>
      <c r="I60" s="75"/>
      <c r="J60" s="87"/>
      <c r="K60" s="96"/>
      <c r="L60" s="71"/>
      <c r="AA60" s="141"/>
    </row>
    <row r="61" spans="1:27" x14ac:dyDescent="0.2">
      <c r="A61" s="42" t="s">
        <v>80</v>
      </c>
      <c r="B61" s="77" t="s">
        <v>265</v>
      </c>
      <c r="D61" s="50"/>
      <c r="E61" s="50"/>
      <c r="F61" s="50"/>
      <c r="G61" s="50"/>
      <c r="H61" s="66"/>
      <c r="I61" s="89"/>
      <c r="J61" s="90"/>
      <c r="K61" s="97"/>
      <c r="L61" s="71"/>
      <c r="AA61" s="145"/>
    </row>
    <row r="62" spans="1:27" x14ac:dyDescent="0.2">
      <c r="A62" s="43" t="s">
        <v>81</v>
      </c>
      <c r="B62" s="43" t="s">
        <v>82</v>
      </c>
      <c r="C62" s="44">
        <v>126</v>
      </c>
      <c r="D62" s="78">
        <v>6500</v>
      </c>
      <c r="E62" s="45"/>
      <c r="F62" s="45">
        <f t="shared" ref="F62:F73" si="32">SUM(D62/12)</f>
        <v>541.66666666666663</v>
      </c>
      <c r="G62" s="45">
        <f>1624.98</f>
        <v>1624.98</v>
      </c>
      <c r="H62" s="65">
        <f t="shared" ref="H62:H73" si="33">(D62/12)*8</f>
        <v>4333.333333333333</v>
      </c>
      <c r="I62" s="79">
        <f t="shared" ref="I62:I74" si="34">G62-H62</f>
        <v>-2708.353333333333</v>
      </c>
      <c r="J62" s="80">
        <f t="shared" ref="J62:J74" si="35">G62/H62</f>
        <v>0.37499538461538462</v>
      </c>
      <c r="K62" s="81">
        <f t="shared" ref="K62:K73" si="36">G62/C62</f>
        <v>12.896666666666667</v>
      </c>
      <c r="L62" s="71"/>
      <c r="AA62" s="142">
        <f>1624.98</f>
        <v>1624.98</v>
      </c>
    </row>
    <row r="63" spans="1:27" x14ac:dyDescent="0.2">
      <c r="A63" s="43" t="s">
        <v>83</v>
      </c>
      <c r="B63" s="43" t="s">
        <v>84</v>
      </c>
      <c r="C63" s="44">
        <v>60</v>
      </c>
      <c r="D63" s="78">
        <v>1500</v>
      </c>
      <c r="E63" s="45"/>
      <c r="F63" s="45">
        <f t="shared" si="32"/>
        <v>125</v>
      </c>
      <c r="G63" s="45">
        <f>125+125+125+125+125+125+125</f>
        <v>875</v>
      </c>
      <c r="H63" s="65">
        <f t="shared" si="33"/>
        <v>1000</v>
      </c>
      <c r="I63" s="79">
        <f t="shared" si="34"/>
        <v>-125</v>
      </c>
      <c r="J63" s="80">
        <f t="shared" si="35"/>
        <v>0.875</v>
      </c>
      <c r="K63" s="81">
        <f t="shared" si="36"/>
        <v>14.583333333333334</v>
      </c>
      <c r="L63" s="71"/>
      <c r="AA63" s="142">
        <f>125+125+125+125+125+125+125</f>
        <v>875</v>
      </c>
    </row>
    <row r="64" spans="1:27" x14ac:dyDescent="0.2">
      <c r="A64" s="43" t="s">
        <v>89</v>
      </c>
      <c r="B64" s="43" t="s">
        <v>90</v>
      </c>
      <c r="C64" s="44">
        <v>175</v>
      </c>
      <c r="D64" s="78">
        <v>7200</v>
      </c>
      <c r="E64" s="45"/>
      <c r="F64" s="45">
        <f t="shared" si="32"/>
        <v>600</v>
      </c>
      <c r="G64" s="45">
        <f>900+900</f>
        <v>1800</v>
      </c>
      <c r="H64" s="65">
        <f t="shared" si="33"/>
        <v>4800</v>
      </c>
      <c r="I64" s="79">
        <f t="shared" si="34"/>
        <v>-3000</v>
      </c>
      <c r="J64" s="80">
        <f t="shared" si="35"/>
        <v>0.375</v>
      </c>
      <c r="K64" s="81">
        <f t="shared" si="36"/>
        <v>10.285714285714286</v>
      </c>
      <c r="L64" s="71"/>
      <c r="AA64" s="142">
        <f>900+900</f>
        <v>1800</v>
      </c>
    </row>
    <row r="65" spans="1:27" x14ac:dyDescent="0.2">
      <c r="A65" s="43" t="s">
        <v>85</v>
      </c>
      <c r="B65" s="43" t="s">
        <v>86</v>
      </c>
      <c r="C65" s="44">
        <v>348</v>
      </c>
      <c r="D65" s="45">
        <v>5000</v>
      </c>
      <c r="E65" s="45"/>
      <c r="F65" s="45">
        <f t="shared" si="32"/>
        <v>416.66666666666669</v>
      </c>
      <c r="G65" s="45"/>
      <c r="H65" s="65">
        <f t="shared" si="33"/>
        <v>3333.3333333333335</v>
      </c>
      <c r="I65" s="79">
        <f t="shared" si="34"/>
        <v>-3333.3333333333335</v>
      </c>
      <c r="J65" s="80">
        <f t="shared" si="35"/>
        <v>0</v>
      </c>
      <c r="K65" s="81">
        <f t="shared" si="36"/>
        <v>0</v>
      </c>
      <c r="L65" s="71"/>
      <c r="AA65" s="142"/>
    </row>
    <row r="66" spans="1:27" x14ac:dyDescent="0.2">
      <c r="A66" s="43" t="s">
        <v>87</v>
      </c>
      <c r="B66" s="43" t="s">
        <v>88</v>
      </c>
      <c r="C66" s="44">
        <v>989</v>
      </c>
      <c r="D66" s="78">
        <v>75000</v>
      </c>
      <c r="E66" s="45">
        <v>6250</v>
      </c>
      <c r="F66" s="45">
        <f t="shared" si="32"/>
        <v>6250</v>
      </c>
      <c r="G66" s="45">
        <f>6250+6250+6250+6250+6250+6250+6250+6250</f>
        <v>50000</v>
      </c>
      <c r="H66" s="65">
        <f t="shared" si="33"/>
        <v>50000</v>
      </c>
      <c r="I66" s="79">
        <f t="shared" si="34"/>
        <v>0</v>
      </c>
      <c r="J66" s="80">
        <f t="shared" si="35"/>
        <v>1</v>
      </c>
      <c r="K66" s="81">
        <f t="shared" si="36"/>
        <v>50.556117290192113</v>
      </c>
      <c r="L66" s="71"/>
      <c r="AA66" s="142">
        <f>6250+6250+6250+6250+6250+6250+6250+6250</f>
        <v>50000</v>
      </c>
    </row>
    <row r="67" spans="1:27" x14ac:dyDescent="0.2">
      <c r="A67" s="43" t="s">
        <v>103</v>
      </c>
      <c r="B67" s="43" t="s">
        <v>104</v>
      </c>
      <c r="C67" s="44">
        <v>140</v>
      </c>
      <c r="D67" s="82">
        <v>25480</v>
      </c>
      <c r="E67" s="45"/>
      <c r="F67" s="45">
        <f t="shared" si="32"/>
        <v>2123.3333333333335</v>
      </c>
      <c r="G67" s="45">
        <f>1953.6+2349.87+2770.44+2568.57+2049.14+2263.5</f>
        <v>13955.119999999999</v>
      </c>
      <c r="H67" s="65">
        <f t="shared" si="33"/>
        <v>16986.666666666668</v>
      </c>
      <c r="I67" s="79">
        <f t="shared" si="34"/>
        <v>-3031.5466666666689</v>
      </c>
      <c r="J67" s="80">
        <f t="shared" si="35"/>
        <v>0.82153375196232326</v>
      </c>
      <c r="K67" s="81">
        <f t="shared" si="36"/>
        <v>99.679428571428559</v>
      </c>
      <c r="L67" s="71"/>
      <c r="AA67" s="142">
        <f>1953.6+2349.87+2770.44+2568.57+2049.14+2263.5</f>
        <v>13955.119999999999</v>
      </c>
    </row>
    <row r="68" spans="1:27" x14ac:dyDescent="0.2">
      <c r="A68" s="43" t="s">
        <v>101</v>
      </c>
      <c r="B68" s="43" t="s">
        <v>102</v>
      </c>
      <c r="C68" s="44">
        <v>230</v>
      </c>
      <c r="D68" s="78">
        <v>11000</v>
      </c>
      <c r="E68" s="45">
        <v>916.67</v>
      </c>
      <c r="F68" s="45">
        <f t="shared" si="32"/>
        <v>916.66666666666663</v>
      </c>
      <c r="G68" s="45">
        <f>916.67+916.67+916.67+916.67+916.67+916.67+916.67+916.67</f>
        <v>7333.36</v>
      </c>
      <c r="H68" s="65">
        <f t="shared" si="33"/>
        <v>7333.333333333333</v>
      </c>
      <c r="I68" s="79">
        <f t="shared" si="34"/>
        <v>2.6666666666642413E-2</v>
      </c>
      <c r="J68" s="80">
        <f t="shared" si="35"/>
        <v>1.0000036363636364</v>
      </c>
      <c r="K68" s="81">
        <f t="shared" si="36"/>
        <v>31.884173913043476</v>
      </c>
      <c r="L68" s="71"/>
      <c r="AA68" s="142">
        <f>916.67+916.67+916.67+916.67+916.67+916.67+916.67+916.67</f>
        <v>7333.36</v>
      </c>
    </row>
    <row r="69" spans="1:27" x14ac:dyDescent="0.2">
      <c r="A69" s="43" t="s">
        <v>91</v>
      </c>
      <c r="B69" s="43" t="s">
        <v>92</v>
      </c>
      <c r="C69" s="44">
        <v>120</v>
      </c>
      <c r="D69" s="82">
        <v>37000</v>
      </c>
      <c r="E69" s="45">
        <v>3083.33</v>
      </c>
      <c r="F69" s="45">
        <f t="shared" si="32"/>
        <v>3083.3333333333335</v>
      </c>
      <c r="G69" s="45">
        <f>2916.67+3249.99+3083.33+3083.33+3083.33+3083.33+3083.33+3083.33</f>
        <v>24666.639999999999</v>
      </c>
      <c r="H69" s="65">
        <f t="shared" si="33"/>
        <v>24666.666666666668</v>
      </c>
      <c r="I69" s="79">
        <f t="shared" si="34"/>
        <v>-2.6666666668461403E-2</v>
      </c>
      <c r="J69" s="80">
        <f t="shared" si="35"/>
        <v>0.9999989189189189</v>
      </c>
      <c r="K69" s="81">
        <f t="shared" si="36"/>
        <v>205.55533333333332</v>
      </c>
      <c r="L69" s="71"/>
      <c r="AA69" s="142">
        <f>2916.67+3249.99+3083.33+3083.33+3083.33+3083.33+3083.33+3083.33</f>
        <v>24666.639999999999</v>
      </c>
    </row>
    <row r="70" spans="1:27" x14ac:dyDescent="0.2">
      <c r="A70" s="43" t="s">
        <v>97</v>
      </c>
      <c r="B70" s="43" t="s">
        <v>98</v>
      </c>
      <c r="C70" s="44">
        <v>192</v>
      </c>
      <c r="D70" s="78">
        <v>7200</v>
      </c>
      <c r="E70" s="45">
        <v>600</v>
      </c>
      <c r="F70" s="45">
        <f t="shared" si="32"/>
        <v>600</v>
      </c>
      <c r="G70" s="45">
        <f>600+600+600+600+600+600+600+600</f>
        <v>4800</v>
      </c>
      <c r="H70" s="65">
        <f t="shared" si="33"/>
        <v>4800</v>
      </c>
      <c r="I70" s="79">
        <f t="shared" si="34"/>
        <v>0</v>
      </c>
      <c r="J70" s="80">
        <f t="shared" si="35"/>
        <v>1</v>
      </c>
      <c r="K70" s="81">
        <f t="shared" si="36"/>
        <v>25</v>
      </c>
      <c r="L70" s="71"/>
      <c r="AA70" s="142">
        <f>600+600+600+600+600+600+600+600</f>
        <v>4800</v>
      </c>
    </row>
    <row r="71" spans="1:27" x14ac:dyDescent="0.2">
      <c r="A71" s="43" t="s">
        <v>93</v>
      </c>
      <c r="B71" s="43" t="s">
        <v>94</v>
      </c>
      <c r="C71" s="44">
        <v>24</v>
      </c>
      <c r="D71" s="82">
        <v>3100</v>
      </c>
      <c r="E71" s="45">
        <v>258.33999999999997</v>
      </c>
      <c r="F71" s="45">
        <f t="shared" si="32"/>
        <v>258.33333333333331</v>
      </c>
      <c r="G71" s="45">
        <f>258.34+258.34+258.34+258.34+258.34+258.34+258.34+258.34</f>
        <v>2066.7199999999998</v>
      </c>
      <c r="H71" s="65">
        <f t="shared" si="33"/>
        <v>2066.6666666666665</v>
      </c>
      <c r="I71" s="79">
        <f t="shared" si="34"/>
        <v>5.3333333333284827E-2</v>
      </c>
      <c r="J71" s="80">
        <f t="shared" si="35"/>
        <v>1.000025806451613</v>
      </c>
      <c r="K71" s="81">
        <f t="shared" si="36"/>
        <v>86.11333333333333</v>
      </c>
      <c r="L71" s="71"/>
      <c r="AA71" s="142">
        <f>258.34+258.34+258.34+258.34+258.34+258.34+258.34+258.34</f>
        <v>2066.7199999999998</v>
      </c>
    </row>
    <row r="72" spans="1:27" x14ac:dyDescent="0.2">
      <c r="A72" s="43" t="s">
        <v>280</v>
      </c>
      <c r="B72" s="43" t="s">
        <v>286</v>
      </c>
      <c r="C72" s="44">
        <v>26</v>
      </c>
      <c r="D72" s="82">
        <v>4200</v>
      </c>
      <c r="E72" s="45"/>
      <c r="F72" s="45">
        <f t="shared" si="32"/>
        <v>350</v>
      </c>
      <c r="G72" s="45">
        <f>350+350+350+350+350+350+350</f>
        <v>2450</v>
      </c>
      <c r="H72" s="65">
        <f t="shared" si="33"/>
        <v>2800</v>
      </c>
      <c r="I72" s="79">
        <f t="shared" si="34"/>
        <v>-350</v>
      </c>
      <c r="J72" s="115">
        <f t="shared" si="35"/>
        <v>0.875</v>
      </c>
      <c r="K72" s="81">
        <f t="shared" si="36"/>
        <v>94.230769230769226</v>
      </c>
      <c r="L72" s="71"/>
      <c r="AA72" s="142">
        <f>350+350+350+350+350+350+350</f>
        <v>2450</v>
      </c>
    </row>
    <row r="73" spans="1:27" x14ac:dyDescent="0.2">
      <c r="A73" s="43" t="s">
        <v>95</v>
      </c>
      <c r="B73" s="43" t="s">
        <v>96</v>
      </c>
      <c r="C73" s="46">
        <v>230</v>
      </c>
      <c r="D73" s="83">
        <v>20000</v>
      </c>
      <c r="E73" s="47">
        <v>3333.34</v>
      </c>
      <c r="F73" s="47">
        <f t="shared" si="32"/>
        <v>1666.6666666666667</v>
      </c>
      <c r="G73" s="47">
        <f>1666.67+1666.67+1666.67+1666.67+1666.67+1666.67+1666.67</f>
        <v>11666.69</v>
      </c>
      <c r="H73" s="48">
        <f t="shared" si="33"/>
        <v>13333.333333333334</v>
      </c>
      <c r="I73" s="84">
        <f t="shared" si="34"/>
        <v>-1666.6433333333334</v>
      </c>
      <c r="J73" s="85">
        <f t="shared" si="35"/>
        <v>0.87500175000000002</v>
      </c>
      <c r="K73" s="86">
        <f t="shared" si="36"/>
        <v>50.724739130434784</v>
      </c>
      <c r="L73" s="71"/>
      <c r="AA73" s="143">
        <f>1666.67+1666.67+1666.67+1666.67+1666.67+1666.67+1666.67</f>
        <v>11666.69</v>
      </c>
    </row>
    <row r="74" spans="1:27" x14ac:dyDescent="0.2">
      <c r="A74" s="51"/>
      <c r="B74" s="52" t="s">
        <v>105</v>
      </c>
      <c r="C74" s="53">
        <f t="shared" ref="C74:G74" si="37">SUM(C62:C73)</f>
        <v>2660</v>
      </c>
      <c r="D74" s="54">
        <f t="shared" si="37"/>
        <v>203180</v>
      </c>
      <c r="E74" s="54">
        <f>SUM(E62:E73)</f>
        <v>14441.68</v>
      </c>
      <c r="F74" s="54">
        <f t="shared" si="37"/>
        <v>16931.666666666668</v>
      </c>
      <c r="G74" s="54">
        <f t="shared" si="37"/>
        <v>121238.51</v>
      </c>
      <c r="H74" s="54">
        <f>SUM(H62:H73)</f>
        <v>135453.33333333334</v>
      </c>
      <c r="I74" s="94">
        <f t="shared" si="34"/>
        <v>-14214.823333333348</v>
      </c>
      <c r="J74" s="95">
        <f t="shared" si="35"/>
        <v>0.89505741214686474</v>
      </c>
      <c r="K74" s="55">
        <f t="shared" ref="K74" si="38">G74/C74</f>
        <v>45.578387218045108</v>
      </c>
      <c r="L74" s="30"/>
      <c r="AA74" s="144">
        <f t="shared" ref="AA74" si="39">SUM(AA62:AA73)</f>
        <v>121238.51</v>
      </c>
    </row>
    <row r="75" spans="1:27" x14ac:dyDescent="0.2">
      <c r="C75" s="13"/>
      <c r="D75" s="40"/>
      <c r="E75" s="40"/>
      <c r="F75" s="40"/>
      <c r="G75" s="40"/>
      <c r="H75" s="54"/>
      <c r="I75" s="75"/>
      <c r="J75" s="87"/>
      <c r="K75" s="96"/>
      <c r="L75" s="71"/>
      <c r="AA75" s="141"/>
    </row>
    <row r="76" spans="1:27" x14ac:dyDescent="0.2">
      <c r="A76" s="42" t="s">
        <v>106</v>
      </c>
      <c r="B76" s="77" t="s">
        <v>269</v>
      </c>
      <c r="D76" s="50"/>
      <c r="E76" s="50"/>
      <c r="F76" s="50"/>
      <c r="G76" s="50"/>
      <c r="H76" s="66"/>
      <c r="I76" s="89"/>
      <c r="J76" s="90"/>
      <c r="K76" s="97"/>
      <c r="L76" s="71"/>
      <c r="AA76" s="145"/>
    </row>
    <row r="77" spans="1:27" x14ac:dyDescent="0.2">
      <c r="A77" s="43" t="s">
        <v>123</v>
      </c>
      <c r="B77" s="43" t="s">
        <v>124</v>
      </c>
      <c r="C77" s="44">
        <v>205</v>
      </c>
      <c r="D77" s="82">
        <v>6500</v>
      </c>
      <c r="E77" s="45"/>
      <c r="F77" s="45">
        <f t="shared" ref="F77:F87" si="40">SUM(D77/12)</f>
        <v>541.66666666666663</v>
      </c>
      <c r="G77" s="45">
        <f>541.67+541.67+541.67+541.67+541.67</f>
        <v>2708.35</v>
      </c>
      <c r="H77" s="65">
        <f t="shared" ref="H77:H87" si="41">(D77/12)*8</f>
        <v>4333.333333333333</v>
      </c>
      <c r="I77" s="79">
        <f t="shared" ref="I77:I88" si="42">G77-H77</f>
        <v>-1624.9833333333331</v>
      </c>
      <c r="J77" s="80">
        <f t="shared" ref="J77:J88" si="43">G77/H77</f>
        <v>0.62500384615384619</v>
      </c>
      <c r="K77" s="81">
        <f t="shared" ref="K77:K88" si="44">G77/C77</f>
        <v>13.211463414634146</v>
      </c>
      <c r="L77" s="71"/>
      <c r="AA77" s="142">
        <f>541.67+541.67+541.67+541.67+541.67</f>
        <v>2708.35</v>
      </c>
    </row>
    <row r="78" spans="1:27" x14ac:dyDescent="0.2">
      <c r="A78" s="43" t="s">
        <v>107</v>
      </c>
      <c r="B78" s="43" t="s">
        <v>108</v>
      </c>
      <c r="C78" s="44">
        <v>225</v>
      </c>
      <c r="D78" s="82">
        <v>19200</v>
      </c>
      <c r="E78" s="45">
        <v>1600</v>
      </c>
      <c r="F78" s="45">
        <f t="shared" si="40"/>
        <v>1600</v>
      </c>
      <c r="G78" s="45">
        <f>1253+1947+1600+1600+1600+1600+1600+1600</f>
        <v>12800</v>
      </c>
      <c r="H78" s="65">
        <f t="shared" si="41"/>
        <v>12800</v>
      </c>
      <c r="I78" s="79">
        <f t="shared" si="42"/>
        <v>0</v>
      </c>
      <c r="J78" s="80">
        <f t="shared" si="43"/>
        <v>1</v>
      </c>
      <c r="K78" s="81">
        <f t="shared" si="44"/>
        <v>56.888888888888886</v>
      </c>
      <c r="L78" s="71"/>
      <c r="AA78" s="142">
        <f>1253+1947+1600+1600+1600+1600+1600+1600</f>
        <v>12800</v>
      </c>
    </row>
    <row r="79" spans="1:27" x14ac:dyDescent="0.2">
      <c r="A79" s="43" t="s">
        <v>121</v>
      </c>
      <c r="B79" s="43" t="s">
        <v>122</v>
      </c>
      <c r="C79" s="44">
        <v>84</v>
      </c>
      <c r="D79" s="82">
        <v>7000</v>
      </c>
      <c r="E79" s="45">
        <v>583.33000000000004</v>
      </c>
      <c r="F79" s="45">
        <f t="shared" si="40"/>
        <v>583.33333333333337</v>
      </c>
      <c r="G79" s="45">
        <f>583.33+583.33+583.33+583.33+583.33+583.33+583.33+583.33</f>
        <v>4666.6400000000003</v>
      </c>
      <c r="H79" s="65">
        <f t="shared" si="41"/>
        <v>4666.666666666667</v>
      </c>
      <c r="I79" s="79">
        <f t="shared" si="42"/>
        <v>-2.6666666666642413E-2</v>
      </c>
      <c r="J79" s="80">
        <f t="shared" si="43"/>
        <v>0.99999428571428572</v>
      </c>
      <c r="K79" s="81">
        <f t="shared" si="44"/>
        <v>55.555238095238096</v>
      </c>
      <c r="L79" s="71"/>
      <c r="AA79" s="142">
        <f>583.33+583.33+583.33+583.33+583.33+583.33+583.33+583.33</f>
        <v>4666.6400000000003</v>
      </c>
    </row>
    <row r="80" spans="1:27" x14ac:dyDescent="0.2">
      <c r="A80" s="43" t="s">
        <v>109</v>
      </c>
      <c r="B80" s="43" t="s">
        <v>110</v>
      </c>
      <c r="C80" s="44">
        <v>43</v>
      </c>
      <c r="D80" s="82">
        <v>2040</v>
      </c>
      <c r="E80" s="45">
        <v>170</v>
      </c>
      <c r="F80" s="45">
        <f t="shared" si="40"/>
        <v>170</v>
      </c>
      <c r="G80" s="45">
        <f>170+170+170+170+170+170+170+170</f>
        <v>1360</v>
      </c>
      <c r="H80" s="65">
        <f t="shared" si="41"/>
        <v>1360</v>
      </c>
      <c r="I80" s="79">
        <f t="shared" si="42"/>
        <v>0</v>
      </c>
      <c r="J80" s="80">
        <f t="shared" si="43"/>
        <v>1</v>
      </c>
      <c r="K80" s="81">
        <f t="shared" si="44"/>
        <v>31.627906976744185</v>
      </c>
      <c r="L80" s="71"/>
      <c r="AA80" s="142">
        <f>170+170+170+170+170+170+170+170</f>
        <v>1360</v>
      </c>
    </row>
    <row r="81" spans="1:27" x14ac:dyDescent="0.2">
      <c r="A81" s="43" t="s">
        <v>111</v>
      </c>
      <c r="B81" s="43" t="s">
        <v>112</v>
      </c>
      <c r="C81" s="44">
        <v>191</v>
      </c>
      <c r="D81" s="82">
        <v>5000</v>
      </c>
      <c r="E81" s="45">
        <v>416.67</v>
      </c>
      <c r="F81" s="45">
        <f t="shared" si="40"/>
        <v>416.66666666666669</v>
      </c>
      <c r="G81" s="45">
        <f>416.67+833.34+416.67+416.67+416.67+416.67+416.67</f>
        <v>3333.36</v>
      </c>
      <c r="H81" s="65">
        <f t="shared" si="41"/>
        <v>3333.3333333333335</v>
      </c>
      <c r="I81" s="79">
        <f t="shared" si="42"/>
        <v>2.6666666666642413E-2</v>
      </c>
      <c r="J81" s="80">
        <f t="shared" si="43"/>
        <v>1.000008</v>
      </c>
      <c r="K81" s="81">
        <f t="shared" si="44"/>
        <v>17.45214659685864</v>
      </c>
      <c r="L81" s="71"/>
      <c r="AA81" s="142">
        <f>416.67+833.34+416.67+416.67+416.67+416.67+416.67</f>
        <v>3333.36</v>
      </c>
    </row>
    <row r="82" spans="1:27" x14ac:dyDescent="0.2">
      <c r="A82" s="43" t="s">
        <v>137</v>
      </c>
      <c r="B82" s="43" t="s">
        <v>138</v>
      </c>
      <c r="C82" s="44">
        <v>337</v>
      </c>
      <c r="D82" s="82">
        <v>25257</v>
      </c>
      <c r="E82" s="45">
        <v>2367.1799999999998</v>
      </c>
      <c r="F82" s="45">
        <f t="shared" si="40"/>
        <v>2104.75</v>
      </c>
      <c r="G82" s="45">
        <f>2301.82+2537.9+1689.23+1781.04+1725.05+2059.37+1933.69+2367.18</f>
        <v>16395.28</v>
      </c>
      <c r="H82" s="65">
        <f t="shared" si="41"/>
        <v>16838</v>
      </c>
      <c r="I82" s="79">
        <f t="shared" si="42"/>
        <v>-442.72000000000116</v>
      </c>
      <c r="J82" s="115">
        <f t="shared" si="43"/>
        <v>0.97370709110345643</v>
      </c>
      <c r="K82" s="81">
        <f t="shared" si="44"/>
        <v>48.650682492581602</v>
      </c>
      <c r="L82" s="71"/>
      <c r="AA82" s="142">
        <f>2301.82+2537.9+1689.23+1781.04+1725.05+2059.37+1933.69+2367.18</f>
        <v>16395.28</v>
      </c>
    </row>
    <row r="83" spans="1:27" x14ac:dyDescent="0.2">
      <c r="A83" s="43" t="s">
        <v>143</v>
      </c>
      <c r="B83" s="43" t="s">
        <v>144</v>
      </c>
      <c r="C83" s="44">
        <v>23</v>
      </c>
      <c r="D83" s="82">
        <v>1800</v>
      </c>
      <c r="E83" s="45">
        <v>148</v>
      </c>
      <c r="F83" s="45">
        <f t="shared" si="40"/>
        <v>150</v>
      </c>
      <c r="G83" s="45">
        <f>192+187+294+219+182+194+148</f>
        <v>1416</v>
      </c>
      <c r="H83" s="65">
        <f t="shared" si="41"/>
        <v>1200</v>
      </c>
      <c r="I83" s="79">
        <f t="shared" si="42"/>
        <v>216</v>
      </c>
      <c r="J83" s="80">
        <f t="shared" si="43"/>
        <v>1.18</v>
      </c>
      <c r="K83" s="81">
        <f t="shared" si="44"/>
        <v>61.565217391304351</v>
      </c>
      <c r="L83" s="71"/>
      <c r="AA83" s="142">
        <f>192+187+294+219+182+194+148</f>
        <v>1416</v>
      </c>
    </row>
    <row r="84" spans="1:27" x14ac:dyDescent="0.2">
      <c r="A84" s="43" t="s">
        <v>113</v>
      </c>
      <c r="B84" s="43" t="s">
        <v>114</v>
      </c>
      <c r="C84" s="44">
        <v>143</v>
      </c>
      <c r="D84" s="82">
        <v>2500</v>
      </c>
      <c r="E84" s="45">
        <v>208.33</v>
      </c>
      <c r="F84" s="45">
        <f t="shared" si="40"/>
        <v>208.33333333333334</v>
      </c>
      <c r="G84" s="45">
        <f>208.33+208.33+208.33+208.33+208.33+208.33+208.33</f>
        <v>1458.31</v>
      </c>
      <c r="H84" s="65">
        <f t="shared" si="41"/>
        <v>1666.6666666666667</v>
      </c>
      <c r="I84" s="79">
        <f t="shared" si="42"/>
        <v>-208.3566666666668</v>
      </c>
      <c r="J84" s="80">
        <f t="shared" si="43"/>
        <v>0.87498599999999993</v>
      </c>
      <c r="K84" s="81">
        <f t="shared" si="44"/>
        <v>10.197972027972028</v>
      </c>
      <c r="L84" s="71"/>
      <c r="AA84" s="142">
        <f>208.33+208.33+208.33+208.33+208.33+208.33+208.33</f>
        <v>1458.31</v>
      </c>
    </row>
    <row r="85" spans="1:27" x14ac:dyDescent="0.2">
      <c r="A85" s="43" t="s">
        <v>119</v>
      </c>
      <c r="B85" s="43" t="s">
        <v>120</v>
      </c>
      <c r="C85" s="44">
        <v>60</v>
      </c>
      <c r="D85" s="82">
        <v>4400</v>
      </c>
      <c r="E85" s="45"/>
      <c r="F85" s="45">
        <f t="shared" si="40"/>
        <v>366.66666666666669</v>
      </c>
      <c r="G85" s="45">
        <f>900+1800+733.34+366.67+366.67+733.34</f>
        <v>4900.0200000000004</v>
      </c>
      <c r="H85" s="65">
        <f t="shared" si="41"/>
        <v>2933.3333333333335</v>
      </c>
      <c r="I85" s="79">
        <f t="shared" si="42"/>
        <v>1966.686666666667</v>
      </c>
      <c r="J85" s="80">
        <f t="shared" si="43"/>
        <v>1.6704613636363637</v>
      </c>
      <c r="K85" s="81">
        <f t="shared" si="44"/>
        <v>81.667000000000002</v>
      </c>
      <c r="L85" s="71"/>
      <c r="AA85" s="142">
        <f>900+1800+733.34+366.67+366.67+733.34</f>
        <v>4900.0200000000004</v>
      </c>
    </row>
    <row r="86" spans="1:27" x14ac:dyDescent="0.2">
      <c r="A86" s="43" t="s">
        <v>115</v>
      </c>
      <c r="B86" s="43" t="s">
        <v>116</v>
      </c>
      <c r="C86" s="44">
        <v>43</v>
      </c>
      <c r="D86" s="82">
        <v>1200</v>
      </c>
      <c r="E86" s="45">
        <v>100</v>
      </c>
      <c r="F86" s="45">
        <f t="shared" si="40"/>
        <v>100</v>
      </c>
      <c r="G86" s="45">
        <f>100+125+100+125+100+100+100+100</f>
        <v>850</v>
      </c>
      <c r="H86" s="65">
        <f t="shared" si="41"/>
        <v>800</v>
      </c>
      <c r="I86" s="79">
        <f t="shared" si="42"/>
        <v>50</v>
      </c>
      <c r="J86" s="80">
        <f t="shared" si="43"/>
        <v>1.0625</v>
      </c>
      <c r="K86" s="81">
        <f t="shared" si="44"/>
        <v>19.767441860465116</v>
      </c>
      <c r="L86" s="71"/>
      <c r="AA86" s="142">
        <f>100+125+100+125+100+100+100+100</f>
        <v>850</v>
      </c>
    </row>
    <row r="87" spans="1:27" x14ac:dyDescent="0.2">
      <c r="A87" s="43" t="s">
        <v>117</v>
      </c>
      <c r="B87" s="43" t="s">
        <v>118</v>
      </c>
      <c r="C87" s="46">
        <v>73</v>
      </c>
      <c r="D87" s="47">
        <v>4800</v>
      </c>
      <c r="E87" s="47">
        <v>800</v>
      </c>
      <c r="F87" s="47">
        <f t="shared" si="40"/>
        <v>400</v>
      </c>
      <c r="G87" s="47">
        <f>400+400+400+400+400+400+400+400</f>
        <v>3200</v>
      </c>
      <c r="H87" s="48">
        <f t="shared" si="41"/>
        <v>3200</v>
      </c>
      <c r="I87" s="84">
        <f t="shared" si="42"/>
        <v>0</v>
      </c>
      <c r="J87" s="85">
        <f t="shared" si="43"/>
        <v>1</v>
      </c>
      <c r="K87" s="86">
        <f t="shared" si="44"/>
        <v>43.835616438356162</v>
      </c>
      <c r="L87" s="71"/>
      <c r="AA87" s="143">
        <f>400+400+400+400+400+400+400+400</f>
        <v>3200</v>
      </c>
    </row>
    <row r="88" spans="1:27" x14ac:dyDescent="0.2">
      <c r="A88" s="51"/>
      <c r="B88" s="52" t="s">
        <v>125</v>
      </c>
      <c r="C88" s="53">
        <f t="shared" ref="C88:H88" si="45">SUM(C77:C87)</f>
        <v>1427</v>
      </c>
      <c r="D88" s="54">
        <f t="shared" si="45"/>
        <v>79697</v>
      </c>
      <c r="E88" s="54">
        <f t="shared" si="45"/>
        <v>6393.51</v>
      </c>
      <c r="F88" s="54">
        <f t="shared" si="45"/>
        <v>6641.4166666666661</v>
      </c>
      <c r="G88" s="54">
        <f t="shared" si="45"/>
        <v>53087.960000000006</v>
      </c>
      <c r="H88" s="54">
        <f t="shared" si="45"/>
        <v>53131.333333333328</v>
      </c>
      <c r="I88" s="54">
        <f t="shared" si="42"/>
        <v>-43.37333333332208</v>
      </c>
      <c r="J88" s="95">
        <f t="shared" si="43"/>
        <v>0.99918365810507315</v>
      </c>
      <c r="K88" s="55">
        <f t="shared" si="44"/>
        <v>37.202494744218647</v>
      </c>
      <c r="L88" s="30"/>
      <c r="AA88" s="144">
        <f t="shared" ref="AA88" si="46">SUM(AA77:AA87)</f>
        <v>53087.960000000006</v>
      </c>
    </row>
    <row r="89" spans="1:27" x14ac:dyDescent="0.2">
      <c r="A89" s="51"/>
      <c r="B89" s="51"/>
      <c r="C89" s="53"/>
      <c r="D89" s="54"/>
      <c r="E89" s="54"/>
      <c r="F89" s="54"/>
      <c r="G89" s="54"/>
      <c r="H89" s="54"/>
      <c r="I89" s="54"/>
      <c r="J89" s="95"/>
      <c r="K89" s="55"/>
      <c r="L89" s="30"/>
      <c r="AA89" s="144"/>
    </row>
    <row r="90" spans="1:27" x14ac:dyDescent="0.2">
      <c r="A90" s="42" t="s">
        <v>126</v>
      </c>
      <c r="B90" s="77" t="s">
        <v>270</v>
      </c>
      <c r="D90" s="50"/>
      <c r="E90" s="50"/>
      <c r="F90" s="50"/>
      <c r="G90" s="50"/>
      <c r="H90" s="66"/>
      <c r="I90" s="89"/>
      <c r="J90" s="90"/>
      <c r="K90" s="97"/>
      <c r="L90" s="71"/>
      <c r="AA90" s="145"/>
    </row>
    <row r="91" spans="1:27" x14ac:dyDescent="0.2">
      <c r="A91" s="43" t="s">
        <v>127</v>
      </c>
      <c r="B91" s="43" t="s">
        <v>128</v>
      </c>
      <c r="C91" s="44">
        <v>20</v>
      </c>
      <c r="D91" s="82">
        <v>330</v>
      </c>
      <c r="E91" s="45"/>
      <c r="F91" s="45">
        <f t="shared" ref="F91:F99" si="47">SUM(D91/12)</f>
        <v>27.5</v>
      </c>
      <c r="G91" s="45"/>
      <c r="H91" s="65">
        <f t="shared" ref="H91:H99" si="48">(D91/12)*8</f>
        <v>220</v>
      </c>
      <c r="I91" s="79">
        <f t="shared" ref="I91:I100" si="49">G91-H91</f>
        <v>-220</v>
      </c>
      <c r="J91" s="80">
        <f t="shared" ref="J91:J100" si="50">G91/H91</f>
        <v>0</v>
      </c>
      <c r="K91" s="81">
        <f t="shared" ref="K91:K99" si="51">G91/C91</f>
        <v>0</v>
      </c>
      <c r="L91" s="71"/>
      <c r="AA91" s="142"/>
    </row>
    <row r="92" spans="1:27" x14ac:dyDescent="0.2">
      <c r="A92" s="43" t="s">
        <v>129</v>
      </c>
      <c r="B92" s="43" t="s">
        <v>130</v>
      </c>
      <c r="C92" s="44">
        <v>259</v>
      </c>
      <c r="D92" s="82">
        <v>7462</v>
      </c>
      <c r="E92" s="45">
        <v>599.34</v>
      </c>
      <c r="F92" s="45">
        <f t="shared" si="47"/>
        <v>621.83333333333337</v>
      </c>
      <c r="G92" s="45">
        <f>99.34+60.34+2236.44+40.48+570.42+669.45+599.34</f>
        <v>4275.8100000000004</v>
      </c>
      <c r="H92" s="65">
        <f t="shared" si="48"/>
        <v>4974.666666666667</v>
      </c>
      <c r="I92" s="79">
        <f t="shared" si="49"/>
        <v>-698.85666666666657</v>
      </c>
      <c r="J92" s="80">
        <f t="shared" si="50"/>
        <v>0.85951688555347094</v>
      </c>
      <c r="K92" s="81">
        <f t="shared" si="51"/>
        <v>16.508918918918919</v>
      </c>
      <c r="L92" s="71"/>
      <c r="AA92" s="142">
        <f>99.34+60.34+2236.44+40.48+570.42+669.45+599.34</f>
        <v>4275.8100000000004</v>
      </c>
    </row>
    <row r="93" spans="1:27" x14ac:dyDescent="0.2">
      <c r="A93" s="43" t="s">
        <v>131</v>
      </c>
      <c r="B93" s="43" t="s">
        <v>132</v>
      </c>
      <c r="C93" s="44">
        <v>64</v>
      </c>
      <c r="D93" s="62">
        <v>3600</v>
      </c>
      <c r="E93" s="45">
        <v>250</v>
      </c>
      <c r="F93" s="45">
        <f t="shared" si="47"/>
        <v>300</v>
      </c>
      <c r="G93" s="45">
        <f>200+300+200+200+250+250+250</f>
        <v>1650</v>
      </c>
      <c r="H93" s="65">
        <f t="shared" si="48"/>
        <v>2400</v>
      </c>
      <c r="I93" s="79">
        <f t="shared" si="49"/>
        <v>-750</v>
      </c>
      <c r="J93" s="80">
        <f t="shared" si="50"/>
        <v>0.6875</v>
      </c>
      <c r="K93" s="81">
        <f t="shared" si="51"/>
        <v>25.78125</v>
      </c>
      <c r="L93" s="71"/>
      <c r="AA93" s="142">
        <f>200+300+200+200+250+250+250</f>
        <v>1650</v>
      </c>
    </row>
    <row r="94" spans="1:27" x14ac:dyDescent="0.2">
      <c r="A94" s="43" t="s">
        <v>145</v>
      </c>
      <c r="B94" s="43" t="s">
        <v>146</v>
      </c>
      <c r="C94" s="44">
        <v>109</v>
      </c>
      <c r="D94" s="82">
        <v>3240</v>
      </c>
      <c r="E94" s="45"/>
      <c r="F94" s="45">
        <f t="shared" si="47"/>
        <v>270</v>
      </c>
      <c r="G94" s="45">
        <f>280+280+280+280+280+280+280</f>
        <v>1960</v>
      </c>
      <c r="H94" s="65">
        <f t="shared" si="48"/>
        <v>2160</v>
      </c>
      <c r="I94" s="79">
        <f t="shared" si="49"/>
        <v>-200</v>
      </c>
      <c r="J94" s="80">
        <f t="shared" si="50"/>
        <v>0.90740740740740744</v>
      </c>
      <c r="K94" s="81">
        <f t="shared" si="51"/>
        <v>17.98165137614679</v>
      </c>
      <c r="L94" s="71"/>
      <c r="AA94" s="142">
        <f>280+280+280+280+280+280+280</f>
        <v>1960</v>
      </c>
    </row>
    <row r="95" spans="1:27" x14ac:dyDescent="0.2">
      <c r="A95" s="43" t="s">
        <v>133</v>
      </c>
      <c r="B95" s="43" t="s">
        <v>134</v>
      </c>
      <c r="C95" s="44">
        <v>335</v>
      </c>
      <c r="D95" s="82">
        <v>18000</v>
      </c>
      <c r="E95" s="45">
        <v>1500</v>
      </c>
      <c r="F95" s="45">
        <f t="shared" si="47"/>
        <v>1500</v>
      </c>
      <c r="G95" s="45">
        <f>1500+1500+1500+1500+1500+1500+1500+1500</f>
        <v>12000</v>
      </c>
      <c r="H95" s="65">
        <f t="shared" si="48"/>
        <v>12000</v>
      </c>
      <c r="I95" s="79">
        <f t="shared" si="49"/>
        <v>0</v>
      </c>
      <c r="J95" s="80">
        <f t="shared" si="50"/>
        <v>1</v>
      </c>
      <c r="K95" s="81">
        <f t="shared" si="51"/>
        <v>35.820895522388057</v>
      </c>
      <c r="L95" s="71"/>
      <c r="AA95" s="142">
        <f>1500+1500+1500+1500+1500+1500+1500+1500</f>
        <v>12000</v>
      </c>
    </row>
    <row r="96" spans="1:27" x14ac:dyDescent="0.2">
      <c r="A96" s="43" t="s">
        <v>147</v>
      </c>
      <c r="B96" s="43" t="s">
        <v>289</v>
      </c>
      <c r="C96" s="44">
        <v>1228</v>
      </c>
      <c r="D96" s="82">
        <v>6000</v>
      </c>
      <c r="E96" s="45"/>
      <c r="F96" s="45">
        <f t="shared" si="47"/>
        <v>500</v>
      </c>
      <c r="G96" s="45"/>
      <c r="H96" s="65">
        <f t="shared" si="48"/>
        <v>4000</v>
      </c>
      <c r="I96" s="79">
        <f t="shared" si="49"/>
        <v>-4000</v>
      </c>
      <c r="J96" s="115">
        <f t="shared" si="50"/>
        <v>0</v>
      </c>
      <c r="K96" s="81">
        <f t="shared" si="51"/>
        <v>0</v>
      </c>
      <c r="L96" s="71"/>
      <c r="AA96" s="142"/>
    </row>
    <row r="97" spans="1:27" x14ac:dyDescent="0.2">
      <c r="A97" s="43" t="s">
        <v>135</v>
      </c>
      <c r="B97" s="43" t="s">
        <v>136</v>
      </c>
      <c r="C97" s="44">
        <v>216</v>
      </c>
      <c r="D97" s="82">
        <v>25000</v>
      </c>
      <c r="E97" s="45">
        <v>2083.34</v>
      </c>
      <c r="F97" s="45">
        <f t="shared" si="47"/>
        <v>2083.3333333333335</v>
      </c>
      <c r="G97" s="45">
        <f>2083.34+2083.34+2083.34+2083.34+2083.34+2083.34+2083.34+2083.34</f>
        <v>16666.72</v>
      </c>
      <c r="H97" s="65">
        <f t="shared" si="48"/>
        <v>16666.666666666668</v>
      </c>
      <c r="I97" s="79">
        <f t="shared" si="49"/>
        <v>5.3333333333284827E-2</v>
      </c>
      <c r="J97" s="80">
        <f t="shared" si="50"/>
        <v>1.0000032000000001</v>
      </c>
      <c r="K97" s="81">
        <f t="shared" si="51"/>
        <v>77.160740740740749</v>
      </c>
      <c r="L97" s="71"/>
      <c r="AA97" s="142">
        <f>2083.34+2083.34+2083.34+2083.34+2083.34+2083.34+2083.34+2083.34</f>
        <v>16666.72</v>
      </c>
    </row>
    <row r="98" spans="1:27" x14ac:dyDescent="0.2">
      <c r="A98" s="43" t="s">
        <v>139</v>
      </c>
      <c r="B98" s="43" t="s">
        <v>140</v>
      </c>
      <c r="C98" s="44">
        <v>289</v>
      </c>
      <c r="D98" s="82">
        <v>42500</v>
      </c>
      <c r="E98" s="45">
        <v>7083.34</v>
      </c>
      <c r="F98" s="45">
        <f t="shared" si="47"/>
        <v>3541.6666666666665</v>
      </c>
      <c r="G98" s="45">
        <f>3541.67+3541.67+3541.67+3541.67+3541.67+3541.67+3541.67+3541.67</f>
        <v>28333.359999999993</v>
      </c>
      <c r="H98" s="65">
        <f t="shared" si="48"/>
        <v>28333.333333333332</v>
      </c>
      <c r="I98" s="79">
        <f t="shared" si="49"/>
        <v>2.6666666661185445E-2</v>
      </c>
      <c r="J98" s="80">
        <f t="shared" si="50"/>
        <v>1.0000009411764703</v>
      </c>
      <c r="K98" s="81">
        <f t="shared" si="51"/>
        <v>98.03930795847748</v>
      </c>
      <c r="L98" s="71"/>
      <c r="AA98" s="142">
        <f>3541.67+3541.67+3541.67+3541.67+3541.67+3541.67+3541.67+3541.67</f>
        <v>28333.359999999993</v>
      </c>
    </row>
    <row r="99" spans="1:27" x14ac:dyDescent="0.2">
      <c r="A99" s="43" t="s">
        <v>141</v>
      </c>
      <c r="B99" s="43" t="s">
        <v>142</v>
      </c>
      <c r="C99" s="46">
        <v>20</v>
      </c>
      <c r="D99" s="98">
        <v>2500</v>
      </c>
      <c r="E99" s="47"/>
      <c r="F99" s="47">
        <f t="shared" si="47"/>
        <v>208.33333333333334</v>
      </c>
      <c r="G99" s="47"/>
      <c r="H99" s="48">
        <f t="shared" si="48"/>
        <v>1666.6666666666667</v>
      </c>
      <c r="I99" s="84">
        <f t="shared" si="49"/>
        <v>-1666.6666666666667</v>
      </c>
      <c r="J99" s="85">
        <f t="shared" si="50"/>
        <v>0</v>
      </c>
      <c r="K99" s="86">
        <f t="shared" si="51"/>
        <v>0</v>
      </c>
      <c r="L99" s="71"/>
      <c r="AA99" s="143"/>
    </row>
    <row r="100" spans="1:27" x14ac:dyDescent="0.2">
      <c r="A100" s="51"/>
      <c r="B100" s="52" t="s">
        <v>148</v>
      </c>
      <c r="C100" s="53">
        <f t="shared" ref="C100:H100" si="52">SUM(C91:C99)</f>
        <v>2540</v>
      </c>
      <c r="D100" s="54">
        <f t="shared" si="52"/>
        <v>108632</v>
      </c>
      <c r="E100" s="54">
        <f t="shared" si="52"/>
        <v>11516.02</v>
      </c>
      <c r="F100" s="54">
        <f t="shared" si="52"/>
        <v>9052.6666666666679</v>
      </c>
      <c r="G100" s="54">
        <f t="shared" si="52"/>
        <v>64885.889999999992</v>
      </c>
      <c r="H100" s="54">
        <f t="shared" si="52"/>
        <v>72421.333333333343</v>
      </c>
      <c r="I100" s="94">
        <f t="shared" si="49"/>
        <v>-7535.4433333333509</v>
      </c>
      <c r="J100" s="95">
        <f t="shared" si="50"/>
        <v>0.89594995029089008</v>
      </c>
      <c r="K100" s="55">
        <f t="shared" ref="K100" si="53">G100/C100</f>
        <v>25.545625984251966</v>
      </c>
      <c r="L100" s="30"/>
      <c r="AA100" s="144">
        <f t="shared" ref="AA100" si="54">SUM(AA91:AA99)</f>
        <v>64885.889999999992</v>
      </c>
    </row>
    <row r="101" spans="1:27" x14ac:dyDescent="0.2">
      <c r="A101" s="1"/>
      <c r="B101" s="1"/>
      <c r="C101" s="12"/>
      <c r="D101" s="40"/>
      <c r="E101" s="40"/>
      <c r="F101" s="40"/>
      <c r="G101" s="40"/>
      <c r="H101" s="54"/>
      <c r="I101" s="75"/>
      <c r="J101" s="76"/>
      <c r="K101" s="41"/>
      <c r="L101" s="30"/>
      <c r="AA101" s="141"/>
    </row>
    <row r="102" spans="1:27" x14ac:dyDescent="0.2">
      <c r="A102" s="42" t="s">
        <v>149</v>
      </c>
      <c r="B102" s="77" t="s">
        <v>260</v>
      </c>
      <c r="D102" s="50"/>
      <c r="E102" s="50"/>
      <c r="F102" s="50"/>
      <c r="G102" s="50"/>
      <c r="H102" s="66"/>
      <c r="I102" s="89"/>
      <c r="J102" s="90"/>
      <c r="K102" s="97"/>
      <c r="L102" s="71"/>
      <c r="AA102" s="145"/>
    </row>
    <row r="103" spans="1:27" x14ac:dyDescent="0.2">
      <c r="A103" s="43" t="s">
        <v>152</v>
      </c>
      <c r="B103" s="43" t="s">
        <v>153</v>
      </c>
      <c r="C103" s="44">
        <v>420</v>
      </c>
      <c r="D103" s="82">
        <v>64000</v>
      </c>
      <c r="E103" s="45">
        <v>10666</v>
      </c>
      <c r="F103" s="45">
        <f t="shared" ref="F103:F113" si="55">SUM(D103/12)</f>
        <v>5333.333333333333</v>
      </c>
      <c r="G103" s="45">
        <f>5333+5333+5333+5333+5333+5333+5333+5333</f>
        <v>42664</v>
      </c>
      <c r="H103" s="65">
        <f t="shared" ref="H103:H113" si="56">(D103/12)*8</f>
        <v>42666.666666666664</v>
      </c>
      <c r="I103" s="79">
        <f t="shared" ref="I103:I114" si="57">G103-H103</f>
        <v>-2.6666666666642413</v>
      </c>
      <c r="J103" s="80">
        <f t="shared" ref="J103:J108" si="58">G103/H103</f>
        <v>0.99993750000000003</v>
      </c>
      <c r="K103" s="81">
        <f t="shared" ref="K103:K113" si="59">G103/C103</f>
        <v>101.58095238095238</v>
      </c>
      <c r="L103" s="71"/>
      <c r="AA103" s="142">
        <f>5333+5333+5333+5333+5333+5333+5333+5333</f>
        <v>42664</v>
      </c>
    </row>
    <row r="104" spans="1:27" x14ac:dyDescent="0.2">
      <c r="A104" s="43" t="s">
        <v>166</v>
      </c>
      <c r="B104" s="43" t="s">
        <v>167</v>
      </c>
      <c r="C104" s="44">
        <v>116</v>
      </c>
      <c r="D104" s="82">
        <v>15696</v>
      </c>
      <c r="E104" s="45">
        <v>1308</v>
      </c>
      <c r="F104" s="45">
        <f t="shared" si="55"/>
        <v>1308</v>
      </c>
      <c r="G104" s="45">
        <f>1166.67+1308+1308+1308+1308+1308+1308+1308</f>
        <v>10322.67</v>
      </c>
      <c r="H104" s="65">
        <f t="shared" si="56"/>
        <v>10464</v>
      </c>
      <c r="I104" s="79">
        <f t="shared" si="57"/>
        <v>-141.32999999999993</v>
      </c>
      <c r="J104" s="80">
        <f t="shared" si="58"/>
        <v>0.98649369266055043</v>
      </c>
      <c r="K104" s="81">
        <f t="shared" si="59"/>
        <v>88.988534482758624</v>
      </c>
      <c r="L104" s="71"/>
      <c r="AA104" s="142">
        <f>1166.67+1308+1308+1308+1308+1308+1308+1308</f>
        <v>10322.67</v>
      </c>
    </row>
    <row r="105" spans="1:27" x14ac:dyDescent="0.2">
      <c r="A105" s="43" t="s">
        <v>154</v>
      </c>
      <c r="B105" s="43" t="s">
        <v>155</v>
      </c>
      <c r="C105" s="44">
        <v>117</v>
      </c>
      <c r="D105" s="82">
        <v>14400</v>
      </c>
      <c r="E105" s="45">
        <v>1200</v>
      </c>
      <c r="F105" s="45">
        <f t="shared" si="55"/>
        <v>1200</v>
      </c>
      <c r="G105" s="45">
        <f>1200+1200+1200+1200+1200+1200+1200+1200</f>
        <v>9600</v>
      </c>
      <c r="H105" s="65">
        <f t="shared" si="56"/>
        <v>9600</v>
      </c>
      <c r="I105" s="79">
        <f t="shared" si="57"/>
        <v>0</v>
      </c>
      <c r="J105" s="80">
        <f t="shared" si="58"/>
        <v>1</v>
      </c>
      <c r="K105" s="81">
        <f t="shared" si="59"/>
        <v>82.051282051282058</v>
      </c>
      <c r="L105" s="71"/>
      <c r="AA105" s="142">
        <f>1200+1200+1200+1200+1200+1200+1200+1200</f>
        <v>9600</v>
      </c>
    </row>
    <row r="106" spans="1:27" x14ac:dyDescent="0.2">
      <c r="A106" s="43" t="s">
        <v>158</v>
      </c>
      <c r="B106" s="43" t="s">
        <v>159</v>
      </c>
      <c r="C106" s="44">
        <v>929</v>
      </c>
      <c r="D106" s="82">
        <v>68700</v>
      </c>
      <c r="E106" s="45">
        <v>5725</v>
      </c>
      <c r="F106" s="45">
        <f t="shared" si="55"/>
        <v>5725</v>
      </c>
      <c r="G106" s="45">
        <f>5725+5725+5725+5725+5725+5725+5725+5725</f>
        <v>45800</v>
      </c>
      <c r="H106" s="65">
        <f t="shared" si="56"/>
        <v>45800</v>
      </c>
      <c r="I106" s="79">
        <f t="shared" si="57"/>
        <v>0</v>
      </c>
      <c r="J106" s="80">
        <f t="shared" si="58"/>
        <v>1</v>
      </c>
      <c r="K106" s="81">
        <f t="shared" si="59"/>
        <v>49.300322927879442</v>
      </c>
      <c r="L106" s="71"/>
      <c r="AA106" s="142">
        <f>5725+5725+5725+5725+5725+5725+5725+5725</f>
        <v>45800</v>
      </c>
    </row>
    <row r="107" spans="1:27" x14ac:dyDescent="0.2">
      <c r="A107" s="43" t="s">
        <v>168</v>
      </c>
      <c r="B107" s="43" t="s">
        <v>169</v>
      </c>
      <c r="C107" s="44">
        <v>89</v>
      </c>
      <c r="D107" s="82">
        <v>2000</v>
      </c>
      <c r="E107" s="45"/>
      <c r="F107" s="45">
        <f t="shared" si="55"/>
        <v>166.66666666666666</v>
      </c>
      <c r="G107" s="45">
        <f>500+500</f>
        <v>1000</v>
      </c>
      <c r="H107" s="65">
        <f t="shared" si="56"/>
        <v>1333.3333333333333</v>
      </c>
      <c r="I107" s="79">
        <f t="shared" si="57"/>
        <v>-333.33333333333326</v>
      </c>
      <c r="J107" s="80">
        <f t="shared" si="58"/>
        <v>0.75</v>
      </c>
      <c r="K107" s="81">
        <f t="shared" si="59"/>
        <v>11.235955056179776</v>
      </c>
      <c r="L107" s="71"/>
      <c r="AA107" s="142">
        <f>500+500</f>
        <v>1000</v>
      </c>
    </row>
    <row r="108" spans="1:27" x14ac:dyDescent="0.2">
      <c r="A108" s="43" t="s">
        <v>160</v>
      </c>
      <c r="B108" s="43" t="s">
        <v>161</v>
      </c>
      <c r="C108" s="44">
        <v>430</v>
      </c>
      <c r="D108" s="99">
        <v>30000</v>
      </c>
      <c r="E108" s="45">
        <v>2500</v>
      </c>
      <c r="F108" s="45">
        <f t="shared" si="55"/>
        <v>2500</v>
      </c>
      <c r="G108" s="45">
        <f>2500+2500+2500+2500+2500+2500+2500+2500</f>
        <v>20000</v>
      </c>
      <c r="H108" s="65">
        <f t="shared" si="56"/>
        <v>20000</v>
      </c>
      <c r="I108" s="79">
        <f t="shared" si="57"/>
        <v>0</v>
      </c>
      <c r="J108" s="80">
        <f t="shared" si="58"/>
        <v>1</v>
      </c>
      <c r="K108" s="81">
        <f t="shared" si="59"/>
        <v>46.511627906976742</v>
      </c>
      <c r="L108" s="71"/>
      <c r="AA108" s="142">
        <f>2500+2500+2500+2500+2500+2500+2500+2500</f>
        <v>20000</v>
      </c>
    </row>
    <row r="109" spans="1:27" x14ac:dyDescent="0.2">
      <c r="A109" s="43" t="s">
        <v>162</v>
      </c>
      <c r="B109" s="43" t="s">
        <v>163</v>
      </c>
      <c r="C109" s="44">
        <v>50</v>
      </c>
      <c r="D109" s="45">
        <v>1500</v>
      </c>
      <c r="E109" s="45">
        <v>125</v>
      </c>
      <c r="F109" s="45">
        <f t="shared" si="55"/>
        <v>125</v>
      </c>
      <c r="G109" s="45">
        <f>125+125+125+125+125+125+125</f>
        <v>875</v>
      </c>
      <c r="H109" s="65">
        <f t="shared" si="56"/>
        <v>1000</v>
      </c>
      <c r="I109" s="79">
        <f t="shared" si="57"/>
        <v>-125</v>
      </c>
      <c r="J109" s="80">
        <v>0</v>
      </c>
      <c r="K109" s="81">
        <f t="shared" si="59"/>
        <v>17.5</v>
      </c>
      <c r="L109" s="71"/>
      <c r="AA109" s="142">
        <f>125+125+125+125+125+125+125</f>
        <v>875</v>
      </c>
    </row>
    <row r="110" spans="1:27" x14ac:dyDescent="0.2">
      <c r="A110" s="43" t="s">
        <v>164</v>
      </c>
      <c r="B110" s="43" t="s">
        <v>165</v>
      </c>
      <c r="C110" s="44">
        <v>140</v>
      </c>
      <c r="D110" s="82">
        <v>15000</v>
      </c>
      <c r="E110" s="45"/>
      <c r="F110" s="45">
        <f t="shared" si="55"/>
        <v>1250</v>
      </c>
      <c r="G110" s="45">
        <f>1250+1250+1250+1250+1250</f>
        <v>6250</v>
      </c>
      <c r="H110" s="65">
        <f t="shared" si="56"/>
        <v>10000</v>
      </c>
      <c r="I110" s="79">
        <f t="shared" si="57"/>
        <v>-3750</v>
      </c>
      <c r="J110" s="80">
        <f>G110/H110</f>
        <v>0.625</v>
      </c>
      <c r="K110" s="81">
        <f t="shared" si="59"/>
        <v>44.642857142857146</v>
      </c>
      <c r="L110" s="71"/>
      <c r="AA110" s="142">
        <f>1250+1250+1250+1250+1250</f>
        <v>6250</v>
      </c>
    </row>
    <row r="111" spans="1:27" x14ac:dyDescent="0.2">
      <c r="A111" s="43" t="s">
        <v>170</v>
      </c>
      <c r="B111" s="43" t="s">
        <v>171</v>
      </c>
      <c r="C111" s="44">
        <v>51</v>
      </c>
      <c r="D111" s="82">
        <v>9000</v>
      </c>
      <c r="E111" s="45">
        <v>750</v>
      </c>
      <c r="F111" s="45">
        <f t="shared" si="55"/>
        <v>750</v>
      </c>
      <c r="G111" s="45">
        <f>750+1500+750+750+750+750</f>
        <v>5250</v>
      </c>
      <c r="H111" s="65">
        <f t="shared" si="56"/>
        <v>6000</v>
      </c>
      <c r="I111" s="79">
        <f t="shared" si="57"/>
        <v>-750</v>
      </c>
      <c r="J111" s="115">
        <f>G111/H111</f>
        <v>0.875</v>
      </c>
      <c r="K111" s="81">
        <f t="shared" si="59"/>
        <v>102.94117647058823</v>
      </c>
      <c r="L111" s="71"/>
      <c r="AA111" s="142">
        <f>750+1500+750+750+750+750</f>
        <v>5250</v>
      </c>
    </row>
    <row r="112" spans="1:27" x14ac:dyDescent="0.2">
      <c r="A112" s="43" t="s">
        <v>156</v>
      </c>
      <c r="B112" s="43" t="s">
        <v>157</v>
      </c>
      <c r="C112" s="44">
        <v>21</v>
      </c>
      <c r="D112" s="82">
        <v>5400</v>
      </c>
      <c r="E112" s="45">
        <v>450</v>
      </c>
      <c r="F112" s="45">
        <f t="shared" si="55"/>
        <v>450</v>
      </c>
      <c r="G112" s="45">
        <f>450+450+450+450+450+450+450+450</f>
        <v>3600</v>
      </c>
      <c r="H112" s="65">
        <f t="shared" si="56"/>
        <v>3600</v>
      </c>
      <c r="I112" s="79">
        <f t="shared" si="57"/>
        <v>0</v>
      </c>
      <c r="J112" s="80">
        <f>G112/H112</f>
        <v>1</v>
      </c>
      <c r="K112" s="81">
        <f t="shared" si="59"/>
        <v>171.42857142857142</v>
      </c>
      <c r="L112" s="71"/>
      <c r="AA112" s="142">
        <f>450+450+450+450+450+450+450+450</f>
        <v>3600</v>
      </c>
    </row>
    <row r="113" spans="1:27" x14ac:dyDescent="0.2">
      <c r="A113" s="116" t="s">
        <v>294</v>
      </c>
      <c r="B113" s="43" t="s">
        <v>287</v>
      </c>
      <c r="C113" s="46">
        <v>74</v>
      </c>
      <c r="D113" s="98">
        <v>6000</v>
      </c>
      <c r="E113" s="47">
        <v>500</v>
      </c>
      <c r="F113" s="47">
        <f t="shared" si="55"/>
        <v>500</v>
      </c>
      <c r="G113" s="47">
        <f>500+500+500+500+500+500+500+500</f>
        <v>4000</v>
      </c>
      <c r="H113" s="48">
        <f t="shared" si="56"/>
        <v>4000</v>
      </c>
      <c r="I113" s="84">
        <f t="shared" si="57"/>
        <v>0</v>
      </c>
      <c r="J113" s="85">
        <f>G113/H113</f>
        <v>1</v>
      </c>
      <c r="K113" s="86">
        <f t="shared" si="59"/>
        <v>54.054054054054056</v>
      </c>
      <c r="L113" s="71"/>
      <c r="AA113" s="143">
        <f>500+500+500+500+500+500+500+500</f>
        <v>4000</v>
      </c>
    </row>
    <row r="114" spans="1:27" x14ac:dyDescent="0.2">
      <c r="A114" s="51"/>
      <c r="B114" s="52" t="s">
        <v>172</v>
      </c>
      <c r="C114" s="53">
        <f t="shared" ref="C114:G114" si="60">SUM(C103:C113)</f>
        <v>2437</v>
      </c>
      <c r="D114" s="54">
        <f t="shared" si="60"/>
        <v>231696</v>
      </c>
      <c r="E114" s="54">
        <f t="shared" si="60"/>
        <v>23224</v>
      </c>
      <c r="F114" s="54">
        <f t="shared" si="60"/>
        <v>19308</v>
      </c>
      <c r="G114" s="54">
        <f t="shared" si="60"/>
        <v>149361.66999999998</v>
      </c>
      <c r="H114" s="54">
        <f>SUM(H103:H113)</f>
        <v>154464</v>
      </c>
      <c r="I114" s="94">
        <f t="shared" si="57"/>
        <v>-5102.3300000000163</v>
      </c>
      <c r="J114" s="95">
        <f>G114/H114</f>
        <v>0.9669675134659208</v>
      </c>
      <c r="K114" s="55">
        <f t="shared" ref="K114" si="61">G114/C114</f>
        <v>61.289154698399663</v>
      </c>
      <c r="L114" s="30"/>
      <c r="AA114" s="144">
        <f t="shared" ref="AA114" si="62">SUM(AA103:AA113)</f>
        <v>149361.66999999998</v>
      </c>
    </row>
    <row r="115" spans="1:27" x14ac:dyDescent="0.2">
      <c r="A115" s="1"/>
      <c r="B115" s="1"/>
      <c r="C115" s="12"/>
      <c r="D115" s="40"/>
      <c r="E115" s="40"/>
      <c r="F115" s="40"/>
      <c r="G115" s="40"/>
      <c r="H115" s="54"/>
      <c r="I115" s="75"/>
      <c r="J115" s="76"/>
      <c r="K115" s="41"/>
      <c r="L115" s="30"/>
      <c r="AA115" s="141"/>
    </row>
    <row r="116" spans="1:27" x14ac:dyDescent="0.2">
      <c r="A116" s="42" t="s">
        <v>173</v>
      </c>
      <c r="B116" s="77" t="s">
        <v>279</v>
      </c>
      <c r="D116" s="50"/>
      <c r="E116" s="50"/>
      <c r="F116" s="50"/>
      <c r="G116" s="50"/>
      <c r="H116" s="66"/>
      <c r="I116" s="89"/>
      <c r="J116" s="90"/>
      <c r="K116" s="97"/>
      <c r="L116" s="71"/>
      <c r="AA116" s="145"/>
    </row>
    <row r="117" spans="1:27" x14ac:dyDescent="0.2">
      <c r="A117" s="43" t="s">
        <v>174</v>
      </c>
      <c r="B117" s="43" t="s">
        <v>175</v>
      </c>
      <c r="C117" s="44">
        <v>251</v>
      </c>
      <c r="D117" s="82">
        <v>26500</v>
      </c>
      <c r="E117" s="45">
        <v>4416.68</v>
      </c>
      <c r="F117" s="45">
        <f t="shared" ref="F117:F124" si="63">SUM(D117/12)</f>
        <v>2208.3333333333335</v>
      </c>
      <c r="G117" s="45">
        <f>6625.02+4416.68+4416.68</f>
        <v>15458.380000000001</v>
      </c>
      <c r="H117" s="65">
        <f t="shared" ref="H117:H124" si="64">(D117/12)*8</f>
        <v>17666.666666666668</v>
      </c>
      <c r="I117" s="79">
        <f t="shared" ref="I117:I125" si="65">G117-H117</f>
        <v>-2208.2866666666669</v>
      </c>
      <c r="J117" s="80">
        <f t="shared" ref="J117:J125" si="66">G117/H117</f>
        <v>0.87500264150943396</v>
      </c>
      <c r="K117" s="81">
        <f t="shared" ref="K117:K125" si="67">G117/C117</f>
        <v>61.587171314741042</v>
      </c>
      <c r="L117" s="71"/>
      <c r="AA117" s="142">
        <f>6625.02+4416.68+4416.68</f>
        <v>15458.380000000001</v>
      </c>
    </row>
    <row r="118" spans="1:27" x14ac:dyDescent="0.2">
      <c r="A118" s="116" t="s">
        <v>178</v>
      </c>
      <c r="B118" s="43" t="s">
        <v>179</v>
      </c>
      <c r="C118" s="44">
        <v>201</v>
      </c>
      <c r="D118" s="82">
        <v>4000</v>
      </c>
      <c r="E118" s="45"/>
      <c r="F118" s="45">
        <f t="shared" si="63"/>
        <v>333.33333333333331</v>
      </c>
      <c r="G118" s="45"/>
      <c r="H118" s="65">
        <f t="shared" si="64"/>
        <v>2666.6666666666665</v>
      </c>
      <c r="I118" s="79">
        <f t="shared" si="65"/>
        <v>-2666.6666666666665</v>
      </c>
      <c r="J118" s="80">
        <f t="shared" si="66"/>
        <v>0</v>
      </c>
      <c r="K118" s="81">
        <f t="shared" si="67"/>
        <v>0</v>
      </c>
      <c r="L118" s="71"/>
      <c r="AA118" s="142"/>
    </row>
    <row r="119" spans="1:27" x14ac:dyDescent="0.2">
      <c r="A119" s="43" t="s">
        <v>180</v>
      </c>
      <c r="B119" s="43" t="s">
        <v>181</v>
      </c>
      <c r="C119" s="44">
        <v>238</v>
      </c>
      <c r="D119" s="82">
        <v>10000</v>
      </c>
      <c r="E119" s="45">
        <v>2500</v>
      </c>
      <c r="F119" s="45">
        <f t="shared" si="63"/>
        <v>833.33333333333337</v>
      </c>
      <c r="G119" s="45">
        <f>2500+2500+2500</f>
        <v>7500</v>
      </c>
      <c r="H119" s="65">
        <f t="shared" si="64"/>
        <v>6666.666666666667</v>
      </c>
      <c r="I119" s="79">
        <f t="shared" si="65"/>
        <v>833.33333333333303</v>
      </c>
      <c r="J119" s="80">
        <f t="shared" si="66"/>
        <v>1.125</v>
      </c>
      <c r="K119" s="81">
        <f t="shared" si="67"/>
        <v>31.512605042016808</v>
      </c>
      <c r="L119" s="71"/>
      <c r="AA119" s="142">
        <f>2500+2500+2500</f>
        <v>7500</v>
      </c>
    </row>
    <row r="120" spans="1:27" x14ac:dyDescent="0.2">
      <c r="A120" s="43" t="s">
        <v>182</v>
      </c>
      <c r="B120" s="43" t="s">
        <v>183</v>
      </c>
      <c r="C120" s="44">
        <v>129</v>
      </c>
      <c r="D120" s="82">
        <v>6000</v>
      </c>
      <c r="E120" s="45">
        <v>500</v>
      </c>
      <c r="F120" s="45">
        <f t="shared" si="63"/>
        <v>500</v>
      </c>
      <c r="G120" s="45">
        <v>4000</v>
      </c>
      <c r="H120" s="65">
        <f t="shared" si="64"/>
        <v>4000</v>
      </c>
      <c r="I120" s="79">
        <f t="shared" si="65"/>
        <v>0</v>
      </c>
      <c r="J120" s="80">
        <f t="shared" si="66"/>
        <v>1</v>
      </c>
      <c r="K120" s="81">
        <f t="shared" si="67"/>
        <v>31.007751937984494</v>
      </c>
      <c r="L120" s="71"/>
      <c r="AA120" s="142">
        <f>500+500+500+500+500+500+500</f>
        <v>3500</v>
      </c>
    </row>
    <row r="121" spans="1:27" x14ac:dyDescent="0.2">
      <c r="A121" s="43" t="s">
        <v>184</v>
      </c>
      <c r="B121" s="43" t="s">
        <v>185</v>
      </c>
      <c r="C121" s="44">
        <v>56</v>
      </c>
      <c r="D121" s="82">
        <v>2800</v>
      </c>
      <c r="E121" s="45">
        <v>233.33</v>
      </c>
      <c r="F121" s="45">
        <f t="shared" si="63"/>
        <v>233.33333333333334</v>
      </c>
      <c r="G121" s="45">
        <f>233.34+233.34+233.34+233.34+233.33+233.33+233.33+233.33</f>
        <v>1866.6799999999998</v>
      </c>
      <c r="H121" s="65">
        <f t="shared" si="64"/>
        <v>1866.6666666666667</v>
      </c>
      <c r="I121" s="79">
        <f t="shared" si="65"/>
        <v>1.3333333333093833E-2</v>
      </c>
      <c r="J121" s="80">
        <f t="shared" si="66"/>
        <v>1.0000071428571427</v>
      </c>
      <c r="K121" s="81">
        <f t="shared" si="67"/>
        <v>33.333571428571425</v>
      </c>
      <c r="L121" s="71"/>
      <c r="AA121" s="142">
        <f>233.34+233.34+233.34+233.34+233.33+233.33+233.33+233.33</f>
        <v>1866.6799999999998</v>
      </c>
    </row>
    <row r="122" spans="1:27" x14ac:dyDescent="0.2">
      <c r="A122" s="43" t="s">
        <v>186</v>
      </c>
      <c r="B122" s="43" t="s">
        <v>187</v>
      </c>
      <c r="C122" s="44">
        <v>800</v>
      </c>
      <c r="D122" s="82">
        <v>115000</v>
      </c>
      <c r="E122" s="45">
        <v>22900</v>
      </c>
      <c r="F122" s="45">
        <f t="shared" si="63"/>
        <v>9583.3333333333339</v>
      </c>
      <c r="G122" s="45">
        <f>9166.67+9166.67+9166.67+9166.67+9166.67+9166.67+9166.67+10400+12500</f>
        <v>87066.69</v>
      </c>
      <c r="H122" s="65">
        <f t="shared" si="64"/>
        <v>76666.666666666672</v>
      </c>
      <c r="I122" s="79">
        <f t="shared" si="65"/>
        <v>10400.023333333331</v>
      </c>
      <c r="J122" s="80">
        <f t="shared" si="66"/>
        <v>1.1356524782608695</v>
      </c>
      <c r="K122" s="81">
        <f t="shared" si="67"/>
        <v>108.83336250000001</v>
      </c>
      <c r="L122" s="71"/>
      <c r="AA122" s="142">
        <f>9166.67+9166.67+9166.67+9166.67+9166.67+9166.67+9166.67+10400+12500</f>
        <v>87066.69</v>
      </c>
    </row>
    <row r="123" spans="1:27" x14ac:dyDescent="0.2">
      <c r="A123" s="43" t="s">
        <v>188</v>
      </c>
      <c r="B123" s="43" t="s">
        <v>189</v>
      </c>
      <c r="C123" s="44">
        <v>93</v>
      </c>
      <c r="D123" s="82">
        <v>10000</v>
      </c>
      <c r="E123" s="45">
        <v>833.34</v>
      </c>
      <c r="F123" s="45">
        <f t="shared" si="63"/>
        <v>833.33333333333337</v>
      </c>
      <c r="G123" s="45">
        <f>833.34+833.34+833.34+833.34+833.34+833.34+833.34+833.34</f>
        <v>6666.72</v>
      </c>
      <c r="H123" s="65">
        <f t="shared" si="64"/>
        <v>6666.666666666667</v>
      </c>
      <c r="I123" s="79">
        <f t="shared" si="65"/>
        <v>5.3333333333284827E-2</v>
      </c>
      <c r="J123" s="80">
        <f t="shared" si="66"/>
        <v>1.000008</v>
      </c>
      <c r="K123" s="81">
        <f t="shared" si="67"/>
        <v>71.685161290322583</v>
      </c>
      <c r="L123" s="71"/>
      <c r="AA123" s="142">
        <f>833.34+833.34+833.34+833.34+833.34+833.34+833.34+833.34</f>
        <v>6666.72</v>
      </c>
    </row>
    <row r="124" spans="1:27" x14ac:dyDescent="0.2">
      <c r="A124" s="43" t="s">
        <v>190</v>
      </c>
      <c r="B124" s="43" t="s">
        <v>191</v>
      </c>
      <c r="C124" s="46">
        <v>92</v>
      </c>
      <c r="D124" s="98">
        <v>3300</v>
      </c>
      <c r="E124" s="47">
        <v>275</v>
      </c>
      <c r="F124" s="47">
        <f t="shared" si="63"/>
        <v>275</v>
      </c>
      <c r="G124" s="47">
        <f>275+275+275+275+275+275+275+275</f>
        <v>2200</v>
      </c>
      <c r="H124" s="48">
        <f t="shared" si="64"/>
        <v>2200</v>
      </c>
      <c r="I124" s="84">
        <f t="shared" si="65"/>
        <v>0</v>
      </c>
      <c r="J124" s="85">
        <f t="shared" si="66"/>
        <v>1</v>
      </c>
      <c r="K124" s="86">
        <f t="shared" si="67"/>
        <v>23.913043478260871</v>
      </c>
      <c r="L124" s="71"/>
      <c r="AA124" s="143">
        <f>275+275+275+275+275+275+275+275</f>
        <v>2200</v>
      </c>
    </row>
    <row r="125" spans="1:27" x14ac:dyDescent="0.2">
      <c r="A125" s="51"/>
      <c r="B125" s="52" t="s">
        <v>192</v>
      </c>
      <c r="C125" s="53">
        <f t="shared" ref="C125:H125" si="68">SUM(C117:C124)</f>
        <v>1860</v>
      </c>
      <c r="D125" s="54">
        <f t="shared" si="68"/>
        <v>177600</v>
      </c>
      <c r="E125" s="54">
        <f t="shared" si="68"/>
        <v>31658.350000000002</v>
      </c>
      <c r="F125" s="54">
        <f t="shared" si="68"/>
        <v>14800.000000000002</v>
      </c>
      <c r="G125" s="54">
        <f t="shared" si="68"/>
        <v>124758.47</v>
      </c>
      <c r="H125" s="54">
        <f t="shared" si="68"/>
        <v>118400.00000000001</v>
      </c>
      <c r="I125" s="94">
        <f t="shared" si="65"/>
        <v>6358.4699999999866</v>
      </c>
      <c r="J125" s="95">
        <f t="shared" si="66"/>
        <v>1.0537032939189188</v>
      </c>
      <c r="K125" s="55">
        <f t="shared" si="67"/>
        <v>67.07444623655914</v>
      </c>
      <c r="L125" s="30"/>
      <c r="AA125" s="144">
        <f t="shared" ref="AA125" si="69">SUM(AA117:AA124)</f>
        <v>124258.47</v>
      </c>
    </row>
    <row r="126" spans="1:27" x14ac:dyDescent="0.2">
      <c r="C126" s="13"/>
      <c r="D126" s="40"/>
      <c r="E126" s="40"/>
      <c r="F126" s="40"/>
      <c r="G126" s="40"/>
      <c r="H126" s="54"/>
      <c r="I126" s="75"/>
      <c r="J126" s="87"/>
      <c r="K126" s="96"/>
      <c r="L126" s="71"/>
      <c r="AA126" s="141"/>
    </row>
    <row r="127" spans="1:27" x14ac:dyDescent="0.2">
      <c r="A127" s="42" t="s">
        <v>193</v>
      </c>
      <c r="B127" s="77" t="s">
        <v>273</v>
      </c>
      <c r="D127" s="50"/>
      <c r="E127" s="50"/>
      <c r="F127" s="50"/>
      <c r="G127" s="50"/>
      <c r="H127" s="66"/>
      <c r="I127" s="89"/>
      <c r="J127" s="90"/>
      <c r="K127" s="97"/>
      <c r="L127" s="71"/>
      <c r="AA127" s="145"/>
    </row>
    <row r="128" spans="1:27" x14ac:dyDescent="0.2">
      <c r="A128" s="43" t="s">
        <v>194</v>
      </c>
      <c r="B128" s="43" t="s">
        <v>195</v>
      </c>
      <c r="C128" s="44">
        <v>97</v>
      </c>
      <c r="D128" s="82">
        <v>5000</v>
      </c>
      <c r="E128" s="45">
        <v>416.67</v>
      </c>
      <c r="F128" s="45">
        <f t="shared" ref="F128:F135" si="70">SUM(D128/12)</f>
        <v>416.66666666666669</v>
      </c>
      <c r="G128" s="45">
        <f>416.67+416.67+416.67+416.67+416.67+416.67+416.67+416.67</f>
        <v>3333.36</v>
      </c>
      <c r="H128" s="65">
        <f t="shared" ref="H128:H135" si="71">(D128/12)*8</f>
        <v>3333.3333333333335</v>
      </c>
      <c r="I128" s="79">
        <f t="shared" ref="I128:I136" si="72">G128-H128</f>
        <v>2.6666666666642413E-2</v>
      </c>
      <c r="J128" s="80">
        <f t="shared" ref="J128:J136" si="73">G128/H128</f>
        <v>1.000008</v>
      </c>
      <c r="K128" s="81">
        <f t="shared" ref="K128:K135" si="74">G128/C128</f>
        <v>34.364536082474231</v>
      </c>
      <c r="L128" s="71"/>
      <c r="AA128" s="142">
        <f>416.67+416.67+416.67+416.67+416.67+416.67+416.67+416.67</f>
        <v>3333.36</v>
      </c>
    </row>
    <row r="129" spans="1:27" x14ac:dyDescent="0.2">
      <c r="A129" s="43" t="s">
        <v>196</v>
      </c>
      <c r="B129" s="43" t="s">
        <v>197</v>
      </c>
      <c r="C129" s="44">
        <v>225</v>
      </c>
      <c r="D129" s="82">
        <v>33375</v>
      </c>
      <c r="E129" s="45">
        <v>2781.25</v>
      </c>
      <c r="F129" s="45">
        <f t="shared" si="70"/>
        <v>2781.25</v>
      </c>
      <c r="G129" s="45">
        <f>2500+3062.5+2781.25+2781.25+2781.25+2781.25+2781.25+2781.25</f>
        <v>22250</v>
      </c>
      <c r="H129" s="65">
        <f t="shared" si="71"/>
        <v>22250</v>
      </c>
      <c r="I129" s="79">
        <f t="shared" si="72"/>
        <v>0</v>
      </c>
      <c r="J129" s="80">
        <f t="shared" si="73"/>
        <v>1</v>
      </c>
      <c r="K129" s="81">
        <f t="shared" si="74"/>
        <v>98.888888888888886</v>
      </c>
      <c r="L129" s="71"/>
      <c r="AA129" s="142">
        <f>2500+3062.5+2781.25+2781.25+2781.25+2781.25+2781.25+2781.25</f>
        <v>22250</v>
      </c>
    </row>
    <row r="130" spans="1:27" x14ac:dyDescent="0.2">
      <c r="A130" s="43" t="s">
        <v>198</v>
      </c>
      <c r="B130" s="43" t="s">
        <v>199</v>
      </c>
      <c r="C130" s="44">
        <v>376</v>
      </c>
      <c r="D130" s="82">
        <v>53000</v>
      </c>
      <c r="E130" s="45">
        <v>4417</v>
      </c>
      <c r="F130" s="45">
        <f t="shared" si="70"/>
        <v>4416.666666666667</v>
      </c>
      <c r="G130" s="45">
        <f>4417+4417+4417+4417+4417+4417+4417+4417</f>
        <v>35336</v>
      </c>
      <c r="H130" s="65">
        <f t="shared" si="71"/>
        <v>35333.333333333336</v>
      </c>
      <c r="I130" s="79">
        <f t="shared" si="72"/>
        <v>2.6666666666642413</v>
      </c>
      <c r="J130" s="80">
        <f t="shared" si="73"/>
        <v>1.0000754716981131</v>
      </c>
      <c r="K130" s="81">
        <f t="shared" si="74"/>
        <v>93.978723404255319</v>
      </c>
      <c r="L130" s="71"/>
      <c r="AA130" s="142">
        <f>4417+4417+4417+4417+4417+4417+4417+4417</f>
        <v>35336</v>
      </c>
    </row>
    <row r="131" spans="1:27" x14ac:dyDescent="0.2">
      <c r="A131" s="43" t="s">
        <v>200</v>
      </c>
      <c r="B131" s="43" t="s">
        <v>201</v>
      </c>
      <c r="C131" s="44">
        <v>47</v>
      </c>
      <c r="D131" s="82">
        <v>2000</v>
      </c>
      <c r="E131" s="45"/>
      <c r="F131" s="45">
        <f t="shared" si="70"/>
        <v>166.66666666666666</v>
      </c>
      <c r="G131" s="45">
        <f>1000+500</f>
        <v>1500</v>
      </c>
      <c r="H131" s="65">
        <f t="shared" si="71"/>
        <v>1333.3333333333333</v>
      </c>
      <c r="I131" s="79">
        <f t="shared" si="72"/>
        <v>166.66666666666674</v>
      </c>
      <c r="J131" s="80">
        <f t="shared" si="73"/>
        <v>1.125</v>
      </c>
      <c r="K131" s="81">
        <f t="shared" si="74"/>
        <v>31.914893617021278</v>
      </c>
      <c r="L131" s="71"/>
      <c r="AA131" s="142">
        <f>1000+500</f>
        <v>1500</v>
      </c>
    </row>
    <row r="132" spans="1:27" x14ac:dyDescent="0.2">
      <c r="A132" s="43" t="s">
        <v>202</v>
      </c>
      <c r="B132" s="43" t="s">
        <v>203</v>
      </c>
      <c r="C132" s="44">
        <v>315</v>
      </c>
      <c r="D132" s="82">
        <v>25000</v>
      </c>
      <c r="E132" s="45">
        <v>2278.31</v>
      </c>
      <c r="F132" s="45">
        <f t="shared" si="70"/>
        <v>2083.3333333333335</v>
      </c>
      <c r="G132" s="45">
        <f>2035.01+3307+3688.4+2523.6+2260.4+3440.18+2278.31</f>
        <v>19532.900000000001</v>
      </c>
      <c r="H132" s="65">
        <f t="shared" si="71"/>
        <v>16666.666666666668</v>
      </c>
      <c r="I132" s="79">
        <f t="shared" si="72"/>
        <v>2866.2333333333336</v>
      </c>
      <c r="J132" s="80">
        <f t="shared" si="73"/>
        <v>1.1719740000000001</v>
      </c>
      <c r="K132" s="81">
        <f t="shared" si="74"/>
        <v>62.009206349206352</v>
      </c>
      <c r="L132" s="71"/>
      <c r="AA132" s="142">
        <f>2035.01+3307+3688.4+2523.6+2260.4+3440.18+2278.31</f>
        <v>19532.900000000001</v>
      </c>
    </row>
    <row r="133" spans="1:27" x14ac:dyDescent="0.2">
      <c r="A133" s="43" t="s">
        <v>206</v>
      </c>
      <c r="B133" s="43" t="s">
        <v>207</v>
      </c>
      <c r="C133" s="44">
        <v>14</v>
      </c>
      <c r="D133" s="45">
        <v>1200</v>
      </c>
      <c r="E133" s="45">
        <v>100</v>
      </c>
      <c r="F133" s="45">
        <f t="shared" si="70"/>
        <v>100</v>
      </c>
      <c r="G133" s="45">
        <f>100+500+100+100</f>
        <v>800</v>
      </c>
      <c r="H133" s="65">
        <f t="shared" si="71"/>
        <v>800</v>
      </c>
      <c r="I133" s="79">
        <f t="shared" si="72"/>
        <v>0</v>
      </c>
      <c r="J133" s="80">
        <f t="shared" si="73"/>
        <v>1</v>
      </c>
      <c r="K133" s="81">
        <f t="shared" si="74"/>
        <v>57.142857142857146</v>
      </c>
      <c r="L133" s="71"/>
      <c r="AA133" s="142">
        <f>100+500+100+100</f>
        <v>800</v>
      </c>
    </row>
    <row r="134" spans="1:27" x14ac:dyDescent="0.2">
      <c r="A134" s="43" t="s">
        <v>176</v>
      </c>
      <c r="B134" s="43" t="s">
        <v>177</v>
      </c>
      <c r="C134" s="44">
        <v>221</v>
      </c>
      <c r="D134" s="82">
        <v>27000</v>
      </c>
      <c r="E134" s="45">
        <v>826.43</v>
      </c>
      <c r="F134" s="45">
        <f t="shared" si="70"/>
        <v>2250</v>
      </c>
      <c r="G134" s="45">
        <f>3102+2059+3469.2+1180.8+977.68+914.73+1137.95+826.43</f>
        <v>13667.79</v>
      </c>
      <c r="H134" s="65">
        <f t="shared" si="71"/>
        <v>18000</v>
      </c>
      <c r="I134" s="79">
        <f t="shared" si="72"/>
        <v>-4332.2099999999991</v>
      </c>
      <c r="J134" s="115">
        <f t="shared" si="73"/>
        <v>0.75932166666666667</v>
      </c>
      <c r="K134" s="81">
        <f t="shared" si="74"/>
        <v>61.845203619909505</v>
      </c>
      <c r="L134" s="71"/>
      <c r="AA134" s="142">
        <f>3102+2059+3469.2+1180.8+977.68+914.73+1137.95+826.43</f>
        <v>13667.79</v>
      </c>
    </row>
    <row r="135" spans="1:27" x14ac:dyDescent="0.2">
      <c r="A135" s="43" t="s">
        <v>204</v>
      </c>
      <c r="B135" s="43" t="s">
        <v>205</v>
      </c>
      <c r="C135" s="46">
        <v>244</v>
      </c>
      <c r="D135" s="98">
        <v>11000</v>
      </c>
      <c r="E135" s="47">
        <v>916.67</v>
      </c>
      <c r="F135" s="47">
        <f t="shared" si="70"/>
        <v>916.66666666666663</v>
      </c>
      <c r="G135" s="47">
        <f>916.67+916.67+916.67+916.67+916.67+916.67+916.67+916.67</f>
        <v>7333.36</v>
      </c>
      <c r="H135" s="48">
        <f t="shared" si="71"/>
        <v>7333.333333333333</v>
      </c>
      <c r="I135" s="84">
        <f t="shared" si="72"/>
        <v>2.6666666666642413E-2</v>
      </c>
      <c r="J135" s="85">
        <f t="shared" si="73"/>
        <v>1.0000036363636364</v>
      </c>
      <c r="K135" s="86">
        <f t="shared" si="74"/>
        <v>30.054754098360654</v>
      </c>
      <c r="L135" s="71"/>
      <c r="AA135" s="143">
        <f>916.67+916.67+916.67+916.67+916.67+916.67+916.67+916.67</f>
        <v>7333.36</v>
      </c>
    </row>
    <row r="136" spans="1:27" x14ac:dyDescent="0.2">
      <c r="A136" s="51"/>
      <c r="B136" s="52" t="s">
        <v>208</v>
      </c>
      <c r="C136" s="53">
        <f>SUM(C128:C135)</f>
        <v>1539</v>
      </c>
      <c r="D136" s="54">
        <f t="shared" ref="D136:G136" si="75">SUM(D128:D135)</f>
        <v>157575</v>
      </c>
      <c r="E136" s="54">
        <f>SUM(E128:E135)</f>
        <v>11736.33</v>
      </c>
      <c r="F136" s="54">
        <f t="shared" si="75"/>
        <v>13131.25</v>
      </c>
      <c r="G136" s="54">
        <f t="shared" si="75"/>
        <v>103753.41000000002</v>
      </c>
      <c r="H136" s="54">
        <f>SUM(H128:H135)</f>
        <v>105050</v>
      </c>
      <c r="I136" s="94">
        <f t="shared" si="72"/>
        <v>-1296.589999999982</v>
      </c>
      <c r="J136" s="95">
        <f t="shared" si="73"/>
        <v>0.98765740123750612</v>
      </c>
      <c r="K136" s="55">
        <f t="shared" ref="K136" si="76">G136/C136</f>
        <v>67.416120857699823</v>
      </c>
      <c r="L136" s="30"/>
      <c r="AA136" s="144">
        <f t="shared" ref="AA136" si="77">SUM(AA128:AA135)</f>
        <v>103753.41000000002</v>
      </c>
    </row>
    <row r="137" spans="1:27" x14ac:dyDescent="0.2">
      <c r="C137" s="13"/>
      <c r="D137" s="40"/>
      <c r="E137" s="40"/>
      <c r="F137" s="40"/>
      <c r="G137" s="40"/>
      <c r="H137" s="54"/>
      <c r="I137" s="75"/>
      <c r="J137" s="87"/>
      <c r="K137" s="96"/>
      <c r="L137" s="71"/>
      <c r="AA137" s="141"/>
    </row>
    <row r="138" spans="1:27" x14ac:dyDescent="0.2">
      <c r="A138" s="42" t="s">
        <v>209</v>
      </c>
      <c r="B138" s="77" t="s">
        <v>266</v>
      </c>
      <c r="D138" s="50"/>
      <c r="E138" s="50"/>
      <c r="F138" s="50"/>
      <c r="G138" s="50"/>
      <c r="H138" s="66"/>
      <c r="I138" s="89"/>
      <c r="J138" s="100"/>
      <c r="K138" s="97"/>
      <c r="L138" s="71"/>
      <c r="AA138" s="145"/>
    </row>
    <row r="139" spans="1:27" x14ac:dyDescent="0.2">
      <c r="A139" s="43" t="s">
        <v>210</v>
      </c>
      <c r="B139" s="43" t="s">
        <v>211</v>
      </c>
      <c r="C139" s="44">
        <v>395</v>
      </c>
      <c r="D139" s="82">
        <v>30000</v>
      </c>
      <c r="E139" s="45">
        <v>3000</v>
      </c>
      <c r="F139" s="45">
        <f t="shared" ref="F139:F146" si="78">SUM(D139/12)</f>
        <v>2500</v>
      </c>
      <c r="G139" s="45">
        <f>2500+2500+2500+2500+2500+2500+3000+12423+8000+3000</f>
        <v>41423</v>
      </c>
      <c r="H139" s="65">
        <f t="shared" ref="H139:H146" si="79">(D139/12)*8</f>
        <v>20000</v>
      </c>
      <c r="I139" s="79">
        <f t="shared" ref="I139:I147" si="80">G139-H139</f>
        <v>21423</v>
      </c>
      <c r="J139" s="80">
        <f t="shared" ref="J139:J147" si="81">G139/H139</f>
        <v>2.0711499999999998</v>
      </c>
      <c r="K139" s="81">
        <f t="shared" ref="K139:K146" si="82">G139/C139</f>
        <v>104.86835443037975</v>
      </c>
      <c r="L139" s="71"/>
      <c r="AA139" s="142">
        <f>2500+2500+2500+2500+2500+2500+3000+12423+8000+3000</f>
        <v>41423</v>
      </c>
    </row>
    <row r="140" spans="1:27" x14ac:dyDescent="0.2">
      <c r="A140" s="43" t="s">
        <v>218</v>
      </c>
      <c r="B140" s="43" t="s">
        <v>219</v>
      </c>
      <c r="C140" s="44">
        <v>562</v>
      </c>
      <c r="D140" s="82">
        <v>48000</v>
      </c>
      <c r="E140" s="45">
        <v>4200</v>
      </c>
      <c r="F140" s="45">
        <f t="shared" si="78"/>
        <v>4000</v>
      </c>
      <c r="G140" s="45">
        <f>4000+4000+4200+4000+4200+4400+4200</f>
        <v>29000</v>
      </c>
      <c r="H140" s="65">
        <f t="shared" si="79"/>
        <v>32000</v>
      </c>
      <c r="I140" s="79">
        <f t="shared" si="80"/>
        <v>-3000</v>
      </c>
      <c r="J140" s="80">
        <f t="shared" si="81"/>
        <v>0.90625</v>
      </c>
      <c r="K140" s="81">
        <f t="shared" si="82"/>
        <v>51.601423487544487</v>
      </c>
      <c r="L140" s="71"/>
      <c r="AA140" s="142">
        <f>4000+4000+4200+4000+4200+4400+4200</f>
        <v>29000</v>
      </c>
    </row>
    <row r="141" spans="1:27" x14ac:dyDescent="0.2">
      <c r="A141" s="43" t="s">
        <v>220</v>
      </c>
      <c r="B141" s="43" t="s">
        <v>221</v>
      </c>
      <c r="C141" s="44">
        <v>35</v>
      </c>
      <c r="D141" s="82">
        <v>2000</v>
      </c>
      <c r="E141" s="45"/>
      <c r="F141" s="45">
        <f t="shared" si="78"/>
        <v>166.66666666666666</v>
      </c>
      <c r="G141" s="45"/>
      <c r="H141" s="65">
        <f t="shared" si="79"/>
        <v>1333.3333333333333</v>
      </c>
      <c r="I141" s="79">
        <f t="shared" si="80"/>
        <v>-1333.3333333333333</v>
      </c>
      <c r="J141" s="115">
        <f t="shared" si="81"/>
        <v>0</v>
      </c>
      <c r="K141" s="81">
        <f t="shared" si="82"/>
        <v>0</v>
      </c>
      <c r="L141" s="71"/>
      <c r="AA141" s="142"/>
    </row>
    <row r="142" spans="1:27" x14ac:dyDescent="0.2">
      <c r="A142" s="43" t="s">
        <v>212</v>
      </c>
      <c r="B142" s="43" t="s">
        <v>213</v>
      </c>
      <c r="C142" s="44">
        <v>50</v>
      </c>
      <c r="D142" s="82">
        <v>2500</v>
      </c>
      <c r="E142" s="45"/>
      <c r="F142" s="45">
        <f t="shared" si="78"/>
        <v>208.33333333333334</v>
      </c>
      <c r="G142" s="45">
        <f>2500</f>
        <v>2500</v>
      </c>
      <c r="H142" s="65">
        <f t="shared" si="79"/>
        <v>1666.6666666666667</v>
      </c>
      <c r="I142" s="79">
        <f t="shared" si="80"/>
        <v>833.33333333333326</v>
      </c>
      <c r="J142" s="80">
        <f t="shared" si="81"/>
        <v>1.5</v>
      </c>
      <c r="K142" s="81">
        <f t="shared" si="82"/>
        <v>50</v>
      </c>
      <c r="L142" s="71"/>
      <c r="AA142" s="142">
        <f>2500</f>
        <v>2500</v>
      </c>
    </row>
    <row r="143" spans="1:27" x14ac:dyDescent="0.2">
      <c r="A143" s="43" t="s">
        <v>214</v>
      </c>
      <c r="B143" s="43" t="s">
        <v>215</v>
      </c>
      <c r="C143" s="44">
        <v>131</v>
      </c>
      <c r="D143" s="45">
        <v>2000</v>
      </c>
      <c r="E143" s="45">
        <v>167</v>
      </c>
      <c r="F143" s="63">
        <f t="shared" si="78"/>
        <v>166.66666666666666</v>
      </c>
      <c r="G143" s="45">
        <f>167+167+167+167+167+167+167+167</f>
        <v>1336</v>
      </c>
      <c r="H143" s="65">
        <f t="shared" si="79"/>
        <v>1333.3333333333333</v>
      </c>
      <c r="I143" s="79">
        <f t="shared" si="80"/>
        <v>2.6666666666667425</v>
      </c>
      <c r="J143" s="80">
        <f t="shared" si="81"/>
        <v>1.002</v>
      </c>
      <c r="K143" s="81">
        <f t="shared" si="82"/>
        <v>10.198473282442748</v>
      </c>
      <c r="L143" s="71"/>
      <c r="AA143" s="142">
        <f>167+167+167+167+167+167+167+167</f>
        <v>1336</v>
      </c>
    </row>
    <row r="144" spans="1:27" x14ac:dyDescent="0.2">
      <c r="A144" s="43" t="s">
        <v>216</v>
      </c>
      <c r="B144" s="43" t="s">
        <v>217</v>
      </c>
      <c r="C144" s="44">
        <v>323</v>
      </c>
      <c r="D144" s="82">
        <v>32000</v>
      </c>
      <c r="E144" s="45"/>
      <c r="F144" s="45">
        <f t="shared" si="78"/>
        <v>2666.6666666666665</v>
      </c>
      <c r="G144" s="45">
        <f>2666.67+2666.67+2666.67+2666.67+2666.67+2666.67+2666.67</f>
        <v>18666.690000000002</v>
      </c>
      <c r="H144" s="65">
        <f t="shared" si="79"/>
        <v>21333.333333333332</v>
      </c>
      <c r="I144" s="79">
        <f t="shared" si="80"/>
        <v>-2666.6433333333298</v>
      </c>
      <c r="J144" s="80">
        <f t="shared" si="81"/>
        <v>0.87500109375000013</v>
      </c>
      <c r="K144" s="81">
        <f t="shared" si="82"/>
        <v>57.791609907120751</v>
      </c>
      <c r="L144" s="71"/>
      <c r="AA144" s="142">
        <f>2666.67+2666.67+2666.67+2666.67+2666.67+2666.67+2666.67</f>
        <v>18666.690000000002</v>
      </c>
    </row>
    <row r="145" spans="1:27" x14ac:dyDescent="0.2">
      <c r="A145" s="43" t="s">
        <v>222</v>
      </c>
      <c r="B145" s="43" t="s">
        <v>223</v>
      </c>
      <c r="C145" s="44">
        <v>76</v>
      </c>
      <c r="D145" s="82">
        <v>2500</v>
      </c>
      <c r="E145" s="45"/>
      <c r="F145" s="45">
        <f t="shared" si="78"/>
        <v>208.33333333333334</v>
      </c>
      <c r="G145" s="45">
        <f>500+500+500+175+500+500+225</f>
        <v>2900</v>
      </c>
      <c r="H145" s="65">
        <f t="shared" si="79"/>
        <v>1666.6666666666667</v>
      </c>
      <c r="I145" s="79">
        <f t="shared" si="80"/>
        <v>1233.3333333333333</v>
      </c>
      <c r="J145" s="80">
        <f t="shared" si="81"/>
        <v>1.74</v>
      </c>
      <c r="K145" s="81">
        <f t="shared" si="82"/>
        <v>38.157894736842103</v>
      </c>
      <c r="L145" s="71"/>
      <c r="AA145" s="142">
        <f>500+500+500+175+500+500+225</f>
        <v>2900</v>
      </c>
    </row>
    <row r="146" spans="1:27" x14ac:dyDescent="0.2">
      <c r="A146" s="43" t="s">
        <v>224</v>
      </c>
      <c r="B146" s="43" t="s">
        <v>225</v>
      </c>
      <c r="C146" s="46">
        <v>61</v>
      </c>
      <c r="D146" s="98">
        <v>4200</v>
      </c>
      <c r="E146" s="47">
        <v>350</v>
      </c>
      <c r="F146" s="47">
        <f t="shared" si="78"/>
        <v>350</v>
      </c>
      <c r="G146" s="47">
        <f>350+350+350+350+350+350+350+350</f>
        <v>2800</v>
      </c>
      <c r="H146" s="48">
        <f t="shared" si="79"/>
        <v>2800</v>
      </c>
      <c r="I146" s="84">
        <f t="shared" si="80"/>
        <v>0</v>
      </c>
      <c r="J146" s="85">
        <f t="shared" si="81"/>
        <v>1</v>
      </c>
      <c r="K146" s="86">
        <f t="shared" si="82"/>
        <v>45.901639344262293</v>
      </c>
      <c r="L146" s="71"/>
      <c r="AA146" s="143">
        <f>350+350+350+350+350+350+350+350</f>
        <v>2800</v>
      </c>
    </row>
    <row r="147" spans="1:27" x14ac:dyDescent="0.2">
      <c r="A147" s="51"/>
      <c r="B147" s="52" t="s">
        <v>226</v>
      </c>
      <c r="C147" s="53">
        <f>SUM(C139:C146)</f>
        <v>1633</v>
      </c>
      <c r="D147" s="54">
        <f>SUM(D139:D146)</f>
        <v>123200</v>
      </c>
      <c r="E147" s="54">
        <f t="shared" ref="E147:G147" si="83">SUM(E139:E146)</f>
        <v>7717</v>
      </c>
      <c r="F147" s="54">
        <f>SUM(F139:F146)</f>
        <v>10266.666666666668</v>
      </c>
      <c r="G147" s="54">
        <f t="shared" si="83"/>
        <v>98625.69</v>
      </c>
      <c r="H147" s="54">
        <f>SUM(H139:H146)</f>
        <v>82133.333333333343</v>
      </c>
      <c r="I147" s="94">
        <f t="shared" si="80"/>
        <v>16492.356666666659</v>
      </c>
      <c r="J147" s="95">
        <f t="shared" si="81"/>
        <v>1.2007997970779221</v>
      </c>
      <c r="K147" s="55">
        <f t="shared" ref="K147" si="84">G147/C147</f>
        <v>60.395401102265772</v>
      </c>
      <c r="L147" s="30"/>
      <c r="AA147" s="144">
        <f t="shared" ref="AA147" si="85">SUM(AA139:AA146)</f>
        <v>98625.69</v>
      </c>
    </row>
    <row r="148" spans="1:27" x14ac:dyDescent="0.2">
      <c r="C148" s="13"/>
      <c r="D148" s="40"/>
      <c r="E148" s="40"/>
      <c r="F148" s="40"/>
      <c r="G148" s="40"/>
      <c r="H148" s="54"/>
      <c r="I148" s="75"/>
      <c r="J148" s="87"/>
      <c r="K148" s="96"/>
      <c r="L148" s="71"/>
      <c r="AA148" s="141"/>
    </row>
    <row r="149" spans="1:27" x14ac:dyDescent="0.2">
      <c r="A149" s="42" t="s">
        <v>227</v>
      </c>
      <c r="B149" s="77" t="s">
        <v>267</v>
      </c>
      <c r="D149" s="50"/>
      <c r="E149" s="50"/>
      <c r="F149" s="50"/>
      <c r="G149" s="50"/>
      <c r="H149" s="66"/>
      <c r="I149" s="89"/>
      <c r="J149" s="90"/>
      <c r="K149" s="97"/>
      <c r="L149" s="71"/>
      <c r="AA149" s="145"/>
    </row>
    <row r="150" spans="1:27" x14ac:dyDescent="0.2">
      <c r="A150" s="43" t="s">
        <v>228</v>
      </c>
      <c r="B150" s="43" t="s">
        <v>229</v>
      </c>
      <c r="C150" s="44">
        <v>13</v>
      </c>
      <c r="D150" s="82">
        <v>7200</v>
      </c>
      <c r="E150" s="45"/>
      <c r="F150" s="45">
        <f t="shared" ref="F150:F158" si="86">SUM(D150/12)</f>
        <v>600</v>
      </c>
      <c r="G150" s="45">
        <f>7200</f>
        <v>7200</v>
      </c>
      <c r="H150" s="65">
        <f t="shared" ref="H150:H158" si="87">(D150/12)*8</f>
        <v>4800</v>
      </c>
      <c r="I150" s="79">
        <f t="shared" ref="I150:I159" si="88">G150-H150</f>
        <v>2400</v>
      </c>
      <c r="J150" s="80">
        <f t="shared" ref="J150:J159" si="89">G150/H150</f>
        <v>1.5</v>
      </c>
      <c r="K150" s="81">
        <f t="shared" ref="K150:K158" si="90">G150/C150</f>
        <v>553.84615384615381</v>
      </c>
      <c r="L150" s="71"/>
      <c r="AA150" s="142">
        <f>7200</f>
        <v>7200</v>
      </c>
    </row>
    <row r="151" spans="1:27" x14ac:dyDescent="0.2">
      <c r="A151" s="43" t="s">
        <v>230</v>
      </c>
      <c r="B151" s="43" t="s">
        <v>299</v>
      </c>
      <c r="C151" s="44">
        <v>6</v>
      </c>
      <c r="D151" s="82">
        <v>1800</v>
      </c>
      <c r="E151" s="45"/>
      <c r="F151" s="45">
        <f t="shared" si="86"/>
        <v>150</v>
      </c>
      <c r="G151" s="45">
        <f>300+150+150</f>
        <v>600</v>
      </c>
      <c r="H151" s="65">
        <f t="shared" si="87"/>
        <v>1200</v>
      </c>
      <c r="I151" s="79">
        <f t="shared" si="88"/>
        <v>-600</v>
      </c>
      <c r="J151" s="80">
        <f t="shared" si="89"/>
        <v>0.5</v>
      </c>
      <c r="K151" s="81">
        <f t="shared" si="90"/>
        <v>100</v>
      </c>
      <c r="L151" s="71"/>
      <c r="AA151" s="142">
        <f>300+150+150</f>
        <v>600</v>
      </c>
    </row>
    <row r="152" spans="1:27" x14ac:dyDescent="0.2">
      <c r="A152" s="43" t="s">
        <v>231</v>
      </c>
      <c r="B152" s="43" t="s">
        <v>232</v>
      </c>
      <c r="C152" s="44">
        <v>45</v>
      </c>
      <c r="D152" s="82">
        <v>1200</v>
      </c>
      <c r="E152" s="45"/>
      <c r="F152" s="45">
        <f t="shared" si="86"/>
        <v>100</v>
      </c>
      <c r="G152" s="45">
        <f>300+500</f>
        <v>800</v>
      </c>
      <c r="H152" s="65">
        <f t="shared" si="87"/>
        <v>800</v>
      </c>
      <c r="I152" s="79">
        <f t="shared" si="88"/>
        <v>0</v>
      </c>
      <c r="J152" s="80">
        <f t="shared" si="89"/>
        <v>1</v>
      </c>
      <c r="K152" s="81">
        <f t="shared" si="90"/>
        <v>17.777777777777779</v>
      </c>
      <c r="L152" s="71"/>
      <c r="AA152" s="142">
        <f>300+500</f>
        <v>800</v>
      </c>
    </row>
    <row r="153" spans="1:27" x14ac:dyDescent="0.2">
      <c r="A153" s="43" t="s">
        <v>233</v>
      </c>
      <c r="B153" s="43" t="s">
        <v>234</v>
      </c>
      <c r="C153" s="44">
        <v>53</v>
      </c>
      <c r="D153" s="82">
        <v>1000</v>
      </c>
      <c r="E153" s="45"/>
      <c r="F153" s="45">
        <f t="shared" si="86"/>
        <v>83.333333333333329</v>
      </c>
      <c r="G153" s="45"/>
      <c r="H153" s="65">
        <f t="shared" si="87"/>
        <v>666.66666666666663</v>
      </c>
      <c r="I153" s="79">
        <f t="shared" si="88"/>
        <v>-666.66666666666663</v>
      </c>
      <c r="J153" s="80">
        <f t="shared" si="89"/>
        <v>0</v>
      </c>
      <c r="K153" s="81">
        <f t="shared" si="90"/>
        <v>0</v>
      </c>
      <c r="L153" s="71"/>
      <c r="AA153" s="142"/>
    </row>
    <row r="154" spans="1:27" x14ac:dyDescent="0.2">
      <c r="A154" s="43" t="s">
        <v>235</v>
      </c>
      <c r="B154" s="43" t="s">
        <v>236</v>
      </c>
      <c r="C154" s="44">
        <v>107</v>
      </c>
      <c r="D154" s="82">
        <v>6000</v>
      </c>
      <c r="E154" s="45">
        <v>500</v>
      </c>
      <c r="F154" s="45">
        <f t="shared" si="86"/>
        <v>500</v>
      </c>
      <c r="G154" s="45">
        <f>1000+500+1500+1000+500</f>
        <v>4500</v>
      </c>
      <c r="H154" s="65">
        <f t="shared" si="87"/>
        <v>4000</v>
      </c>
      <c r="I154" s="79">
        <f t="shared" si="88"/>
        <v>500</v>
      </c>
      <c r="J154" s="80">
        <f t="shared" si="89"/>
        <v>1.125</v>
      </c>
      <c r="K154" s="81">
        <f t="shared" si="90"/>
        <v>42.056074766355138</v>
      </c>
      <c r="L154" s="71"/>
      <c r="AA154" s="142">
        <f>1000+500+1500+1000+500</f>
        <v>4500</v>
      </c>
    </row>
    <row r="155" spans="1:27" x14ac:dyDescent="0.2">
      <c r="A155" s="43" t="s">
        <v>237</v>
      </c>
      <c r="B155" s="43" t="s">
        <v>238</v>
      </c>
      <c r="C155" s="44">
        <v>5</v>
      </c>
      <c r="D155" s="82">
        <v>600</v>
      </c>
      <c r="E155" s="45">
        <v>50</v>
      </c>
      <c r="F155" s="45">
        <f t="shared" si="86"/>
        <v>50</v>
      </c>
      <c r="G155" s="45">
        <f>50+50+50+50+50+50+50+50</f>
        <v>400</v>
      </c>
      <c r="H155" s="65">
        <f t="shared" si="87"/>
        <v>400</v>
      </c>
      <c r="I155" s="79">
        <f t="shared" si="88"/>
        <v>0</v>
      </c>
      <c r="J155" s="80">
        <f t="shared" si="89"/>
        <v>1</v>
      </c>
      <c r="K155" s="81">
        <f t="shared" si="90"/>
        <v>80</v>
      </c>
      <c r="L155" s="71"/>
      <c r="AA155" s="142">
        <f>50+50+50+50+50+50+50+50</f>
        <v>400</v>
      </c>
    </row>
    <row r="156" spans="1:27" x14ac:dyDescent="0.2">
      <c r="A156" s="43" t="s">
        <v>239</v>
      </c>
      <c r="B156" s="43" t="s">
        <v>240</v>
      </c>
      <c r="C156" s="44">
        <v>104</v>
      </c>
      <c r="D156" s="82">
        <v>5000</v>
      </c>
      <c r="E156" s="45">
        <v>416.67</v>
      </c>
      <c r="F156" s="45">
        <f t="shared" si="86"/>
        <v>416.66666666666669</v>
      </c>
      <c r="G156" s="45">
        <f>416.67+416.67+416.67+416.67+416.67+416.67+416.67+416.67</f>
        <v>3333.36</v>
      </c>
      <c r="H156" s="65">
        <f t="shared" si="87"/>
        <v>3333.3333333333335</v>
      </c>
      <c r="I156" s="79">
        <f t="shared" si="88"/>
        <v>2.6666666666642413E-2</v>
      </c>
      <c r="J156" s="80">
        <f t="shared" si="89"/>
        <v>1.000008</v>
      </c>
      <c r="K156" s="81">
        <f t="shared" si="90"/>
        <v>32.051538461538463</v>
      </c>
      <c r="L156" s="71"/>
      <c r="AA156" s="142">
        <f>416.67+416.67+416.67+416.67+416.67+416.67+416.67+416.67</f>
        <v>3333.36</v>
      </c>
    </row>
    <row r="157" spans="1:27" x14ac:dyDescent="0.2">
      <c r="A157" s="43" t="s">
        <v>241</v>
      </c>
      <c r="B157" s="43" t="s">
        <v>242</v>
      </c>
      <c r="C157" s="44">
        <v>335</v>
      </c>
      <c r="D157" s="82">
        <v>27000</v>
      </c>
      <c r="E157" s="45">
        <v>2250</v>
      </c>
      <c r="F157" s="45">
        <f t="shared" si="86"/>
        <v>2250</v>
      </c>
      <c r="G157" s="45">
        <f>2250+2250+2250+2250+2250+2250+2250</f>
        <v>15750</v>
      </c>
      <c r="H157" s="65">
        <f t="shared" si="87"/>
        <v>18000</v>
      </c>
      <c r="I157" s="79">
        <f t="shared" si="88"/>
        <v>-2250</v>
      </c>
      <c r="J157" s="80">
        <f t="shared" si="89"/>
        <v>0.875</v>
      </c>
      <c r="K157" s="81">
        <f t="shared" si="90"/>
        <v>47.014925373134325</v>
      </c>
      <c r="L157" s="71"/>
      <c r="AA157" s="142">
        <f>2250+2250+2250+2250+2250+2250+2250</f>
        <v>15750</v>
      </c>
    </row>
    <row r="158" spans="1:27" x14ac:dyDescent="0.2">
      <c r="A158" s="43" t="s">
        <v>243</v>
      </c>
      <c r="B158" s="43" t="s">
        <v>244</v>
      </c>
      <c r="C158" s="46">
        <v>32</v>
      </c>
      <c r="D158" s="98">
        <v>1200</v>
      </c>
      <c r="E158" s="47"/>
      <c r="F158" s="47">
        <f t="shared" si="86"/>
        <v>100</v>
      </c>
      <c r="G158" s="47">
        <f>10+720+500</f>
        <v>1230</v>
      </c>
      <c r="H158" s="48">
        <f t="shared" si="87"/>
        <v>800</v>
      </c>
      <c r="I158" s="84">
        <f t="shared" si="88"/>
        <v>430</v>
      </c>
      <c r="J158" s="85">
        <f t="shared" si="89"/>
        <v>1.5375000000000001</v>
      </c>
      <c r="K158" s="86">
        <f t="shared" si="90"/>
        <v>38.4375</v>
      </c>
      <c r="L158" s="71"/>
      <c r="AA158" s="143">
        <f>10+720+500</f>
        <v>1230</v>
      </c>
    </row>
    <row r="159" spans="1:27" x14ac:dyDescent="0.2">
      <c r="A159" s="51"/>
      <c r="B159" s="52" t="s">
        <v>245</v>
      </c>
      <c r="C159" s="53">
        <f t="shared" ref="C159:H159" si="91">SUM(C150:C158)</f>
        <v>700</v>
      </c>
      <c r="D159" s="54">
        <f t="shared" si="91"/>
        <v>51000</v>
      </c>
      <c r="E159" s="54">
        <f>SUM(E150:E158)</f>
        <v>3216.67</v>
      </c>
      <c r="F159" s="54">
        <f t="shared" si="91"/>
        <v>4250</v>
      </c>
      <c r="G159" s="54">
        <f t="shared" si="91"/>
        <v>33813.360000000001</v>
      </c>
      <c r="H159" s="54">
        <f t="shared" si="91"/>
        <v>34000</v>
      </c>
      <c r="I159" s="94">
        <f t="shared" si="88"/>
        <v>-186.63999999999942</v>
      </c>
      <c r="J159" s="95">
        <f t="shared" si="89"/>
        <v>0.99451058823529415</v>
      </c>
      <c r="K159" s="55">
        <f t="shared" ref="K159" si="92">G159/C159</f>
        <v>48.3048</v>
      </c>
      <c r="L159" s="30"/>
      <c r="AA159" s="144">
        <f t="shared" ref="AA159" si="93">SUM(AA150:AA158)</f>
        <v>33813.360000000001</v>
      </c>
    </row>
    <row r="160" spans="1:27" x14ac:dyDescent="0.2">
      <c r="C160" s="13"/>
      <c r="D160" s="40"/>
      <c r="E160" s="40"/>
      <c r="F160" s="40"/>
      <c r="G160" s="40"/>
      <c r="H160" s="54"/>
      <c r="I160" s="75"/>
      <c r="J160" s="87"/>
      <c r="K160" s="96"/>
      <c r="L160" s="71"/>
      <c r="AA160" s="141"/>
    </row>
    <row r="161" spans="1:27" x14ac:dyDescent="0.2">
      <c r="A161" s="42" t="s">
        <v>246</v>
      </c>
      <c r="B161" s="77" t="s">
        <v>268</v>
      </c>
      <c r="D161" s="50"/>
      <c r="E161" s="50"/>
      <c r="F161" s="50"/>
      <c r="G161" s="50"/>
      <c r="H161" s="66"/>
      <c r="I161" s="89"/>
      <c r="J161" s="90"/>
      <c r="K161" s="97"/>
      <c r="L161" s="71"/>
      <c r="AA161" s="145"/>
    </row>
    <row r="162" spans="1:27" x14ac:dyDescent="0.2">
      <c r="A162" s="43" t="s">
        <v>249</v>
      </c>
      <c r="B162" s="43" t="s">
        <v>1120</v>
      </c>
      <c r="C162" s="44">
        <v>6</v>
      </c>
      <c r="D162" s="82">
        <v>1200</v>
      </c>
      <c r="E162" s="45"/>
      <c r="F162" s="45">
        <f t="shared" ref="F162:F167" si="94">SUM(D162/12)</f>
        <v>100</v>
      </c>
      <c r="G162" s="45"/>
      <c r="H162" s="65">
        <f t="shared" ref="H162:H167" si="95">(D162/12)*8</f>
        <v>800</v>
      </c>
      <c r="I162" s="79">
        <f t="shared" ref="I162:I168" si="96">G162-H162</f>
        <v>-800</v>
      </c>
      <c r="J162" s="80">
        <f t="shared" ref="J162:J168" si="97">G162/H162</f>
        <v>0</v>
      </c>
      <c r="K162" s="81">
        <f t="shared" ref="K162:K167" si="98">G162/C162</f>
        <v>0</v>
      </c>
      <c r="L162" s="71"/>
      <c r="AA162" s="142"/>
    </row>
    <row r="163" spans="1:27" x14ac:dyDescent="0.2">
      <c r="A163" s="43" t="s">
        <v>250</v>
      </c>
      <c r="B163" s="43" t="s">
        <v>251</v>
      </c>
      <c r="C163" s="44">
        <v>30</v>
      </c>
      <c r="D163" s="82">
        <v>240</v>
      </c>
      <c r="E163" s="45">
        <v>30</v>
      </c>
      <c r="F163" s="45">
        <f t="shared" si="94"/>
        <v>20</v>
      </c>
      <c r="G163" s="45">
        <f>50+25+25+30+30+25+30</f>
        <v>215</v>
      </c>
      <c r="H163" s="65">
        <f t="shared" si="95"/>
        <v>160</v>
      </c>
      <c r="I163" s="79">
        <f t="shared" si="96"/>
        <v>55</v>
      </c>
      <c r="J163" s="80">
        <f t="shared" si="97"/>
        <v>1.34375</v>
      </c>
      <c r="K163" s="81">
        <f t="shared" si="98"/>
        <v>7.166666666666667</v>
      </c>
      <c r="L163" s="71"/>
      <c r="AA163" s="142">
        <v>215</v>
      </c>
    </row>
    <row r="164" spans="1:27" x14ac:dyDescent="0.2">
      <c r="A164" s="43" t="s">
        <v>252</v>
      </c>
      <c r="B164" s="43" t="s">
        <v>253</v>
      </c>
      <c r="C164" s="44">
        <v>167</v>
      </c>
      <c r="D164" s="82">
        <v>20000</v>
      </c>
      <c r="E164" s="45">
        <v>1666.67</v>
      </c>
      <c r="F164" s="45">
        <f t="shared" si="94"/>
        <v>1666.6666666666667</v>
      </c>
      <c r="G164" s="45">
        <f>1500+1500+1666.67+1666.67+1666.67+1666.67+1666.67+1666.67</f>
        <v>13000.02</v>
      </c>
      <c r="H164" s="65">
        <f t="shared" si="95"/>
        <v>13333.333333333334</v>
      </c>
      <c r="I164" s="79">
        <f t="shared" si="96"/>
        <v>-333.3133333333335</v>
      </c>
      <c r="J164" s="80">
        <f t="shared" si="97"/>
        <v>0.97500149999999997</v>
      </c>
      <c r="K164" s="81">
        <f t="shared" si="98"/>
        <v>77.844431137724555</v>
      </c>
      <c r="L164" s="71"/>
      <c r="AA164" s="142">
        <f>1500+1500+1666.67+1666.67+1666.67+1666.67+1666.67+1666.67</f>
        <v>13000.02</v>
      </c>
    </row>
    <row r="165" spans="1:27" x14ac:dyDescent="0.2">
      <c r="A165" s="43" t="s">
        <v>254</v>
      </c>
      <c r="B165" s="43" t="s">
        <v>255</v>
      </c>
      <c r="C165" s="44">
        <v>115</v>
      </c>
      <c r="D165" s="78">
        <v>13000</v>
      </c>
      <c r="E165" s="45">
        <v>1300</v>
      </c>
      <c r="F165" s="45">
        <f t="shared" si="94"/>
        <v>1083.3333333333333</v>
      </c>
      <c r="G165" s="45">
        <f>1300+1300+1300+1300+1300+1300+1300+1300</f>
        <v>10400</v>
      </c>
      <c r="H165" s="65">
        <f t="shared" si="95"/>
        <v>8666.6666666666661</v>
      </c>
      <c r="I165" s="79">
        <f t="shared" si="96"/>
        <v>1733.3333333333339</v>
      </c>
      <c r="J165" s="80">
        <f t="shared" si="97"/>
        <v>1.2000000000000002</v>
      </c>
      <c r="K165" s="81">
        <f t="shared" si="98"/>
        <v>90.434782608695656</v>
      </c>
      <c r="L165" s="71"/>
      <c r="AA165" s="142">
        <f>1300+1300+1300+1300+1300+1300+1300+1300</f>
        <v>10400</v>
      </c>
    </row>
    <row r="166" spans="1:27" x14ac:dyDescent="0.2">
      <c r="A166" s="43" t="s">
        <v>247</v>
      </c>
      <c r="B166" s="43" t="s">
        <v>248</v>
      </c>
      <c r="C166" s="44">
        <v>83</v>
      </c>
      <c r="D166" s="78">
        <v>7000</v>
      </c>
      <c r="E166" s="45">
        <v>583.34</v>
      </c>
      <c r="F166" s="45">
        <f t="shared" si="94"/>
        <v>583.33333333333337</v>
      </c>
      <c r="G166" s="45">
        <f>541.67+624.99+583.34+583.34+583.34+583.34+583.34+583.34</f>
        <v>4666.7000000000007</v>
      </c>
      <c r="H166" s="65">
        <f t="shared" si="95"/>
        <v>4666.666666666667</v>
      </c>
      <c r="I166" s="79">
        <f t="shared" si="96"/>
        <v>3.3333333333757764E-2</v>
      </c>
      <c r="J166" s="80">
        <f t="shared" si="97"/>
        <v>1.0000071428571429</v>
      </c>
      <c r="K166" s="81">
        <f t="shared" si="98"/>
        <v>56.225301204819289</v>
      </c>
      <c r="L166" s="71"/>
      <c r="AA166" s="142">
        <f>541.67+624.99+583.34+583.34+583.34+583.34+583.34+583.34</f>
        <v>4666.7000000000007</v>
      </c>
    </row>
    <row r="167" spans="1:27" x14ac:dyDescent="0.2">
      <c r="A167" s="43" t="s">
        <v>256</v>
      </c>
      <c r="B167" s="43" t="s">
        <v>257</v>
      </c>
      <c r="C167" s="46">
        <v>15</v>
      </c>
      <c r="D167" s="83">
        <v>250</v>
      </c>
      <c r="E167" s="47"/>
      <c r="F167" s="47">
        <f t="shared" si="94"/>
        <v>20.833333333333332</v>
      </c>
      <c r="G167" s="47"/>
      <c r="H167" s="48">
        <f t="shared" si="95"/>
        <v>166.66666666666666</v>
      </c>
      <c r="I167" s="84">
        <f t="shared" si="96"/>
        <v>-166.66666666666666</v>
      </c>
      <c r="J167" s="85">
        <f t="shared" si="97"/>
        <v>0</v>
      </c>
      <c r="K167" s="86">
        <f t="shared" si="98"/>
        <v>0</v>
      </c>
      <c r="L167" s="71"/>
      <c r="AA167" s="143"/>
    </row>
    <row r="168" spans="1:27" x14ac:dyDescent="0.2">
      <c r="A168" s="51"/>
      <c r="B168" s="52" t="s">
        <v>258</v>
      </c>
      <c r="C168" s="53">
        <f>SUM(C162:C167)</f>
        <v>416</v>
      </c>
      <c r="D168" s="54">
        <f t="shared" ref="D168:H168" si="99">SUM(D162:D167)</f>
        <v>41690</v>
      </c>
      <c r="E168" s="54">
        <f t="shared" si="99"/>
        <v>3580.01</v>
      </c>
      <c r="F168" s="54">
        <f t="shared" si="99"/>
        <v>3474.166666666667</v>
      </c>
      <c r="G168" s="54">
        <f t="shared" si="99"/>
        <v>28281.72</v>
      </c>
      <c r="H168" s="54">
        <f t="shared" si="99"/>
        <v>27793.333333333336</v>
      </c>
      <c r="I168" s="94">
        <f t="shared" si="96"/>
        <v>488.38666666666541</v>
      </c>
      <c r="J168" s="95">
        <f t="shared" si="97"/>
        <v>1.0175720796354042</v>
      </c>
      <c r="K168" s="55">
        <f t="shared" ref="K168" si="100">G168/C168</f>
        <v>67.984903846153856</v>
      </c>
      <c r="L168" s="71"/>
      <c r="AA168" s="144">
        <f t="shared" ref="AA168" si="101">SUM(AA162:AA167)</f>
        <v>28281.72</v>
      </c>
    </row>
    <row r="169" spans="1:27" x14ac:dyDescent="0.2">
      <c r="D169" s="97"/>
      <c r="E169" s="97"/>
      <c r="F169" s="97"/>
      <c r="G169" s="97"/>
      <c r="H169" s="97"/>
      <c r="I169" s="101"/>
      <c r="J169" s="100"/>
      <c r="K169" s="97"/>
      <c r="L169" s="71"/>
    </row>
    <row r="170" spans="1:27" ht="15" x14ac:dyDescent="0.25">
      <c r="B170" s="59" t="s">
        <v>259</v>
      </c>
      <c r="C170" s="60">
        <f>SUM(C168+C159+C147+C136+C125+C114+C100+C88+C74+C59+C43+C31+C19)</f>
        <v>20795</v>
      </c>
      <c r="D170" s="61">
        <f>D19+D31+D43+D59+D74+D88+D100+D114+D125+D136+D147+D159+D168</f>
        <v>1639545</v>
      </c>
      <c r="E170" s="61">
        <f>E19+E31+E43+E59+E74+E88+E100+E114+E125+E136+E147+E159+E168</f>
        <v>147200.24000000002</v>
      </c>
      <c r="F170" s="61">
        <f>F19+F31+F43+F59+F74+F88+F100+F114+F125+F136+F147+F159+F168</f>
        <v>136628.75</v>
      </c>
      <c r="G170" s="61">
        <f>G19+G31+G43+G59+G74+G88+G100+G114+G125+G136+G147+G159+G168</f>
        <v>1075504.4600000002</v>
      </c>
      <c r="H170" s="61">
        <f>H19+H31+H43+H59+H74+H88+H100+H114+H125+H136+H147+H159+H168</f>
        <v>1093030</v>
      </c>
      <c r="I170" s="102">
        <f>G170-H170</f>
        <v>-17525.539999999804</v>
      </c>
      <c r="J170" s="103">
        <f>G170/H170</f>
        <v>0.98396609425175907</v>
      </c>
      <c r="K170" s="104">
        <f>G170/C170</f>
        <v>51.719377735032467</v>
      </c>
      <c r="L170" s="71"/>
      <c r="AA170" s="146">
        <f>AA19+AA31+AA43+AA59+AA74+AA88+AA100+AA114+AA125+AA136+AA147+AA159+AA168</f>
        <v>1075004.4600000002</v>
      </c>
    </row>
    <row r="171" spans="1:27" x14ac:dyDescent="0.2">
      <c r="F171" s="14"/>
      <c r="L171" s="71"/>
    </row>
    <row r="172" spans="1:27" ht="13.5" thickBot="1" x14ac:dyDescent="0.25"/>
    <row r="173" spans="1:27" ht="13.5" thickBot="1" x14ac:dyDescent="0.25">
      <c r="C173" s="16" t="s">
        <v>281</v>
      </c>
      <c r="D173" s="17">
        <f>SUM(D176-D175)</f>
        <v>-2.9103830456733704E-11</v>
      </c>
      <c r="F173" s="15"/>
      <c r="G173" s="105">
        <f>SUM(G175-G170)</f>
        <v>-928304.2200000002</v>
      </c>
      <c r="H173" s="17">
        <f>SUM(H170-H175)</f>
        <v>0</v>
      </c>
      <c r="I173" s="106">
        <f>I19+I31+I43+I59+I74+I88+I100+I114+I125+I136+I147+I159+I168</f>
        <v>-17525.540000000059</v>
      </c>
      <c r="J173" s="15"/>
      <c r="AA173" s="147">
        <f>SUM(AA175-AA170)</f>
        <v>-1075004.4600000002</v>
      </c>
    </row>
    <row r="174" spans="1:27" x14ac:dyDescent="0.2">
      <c r="C174" s="18"/>
      <c r="D174" s="18"/>
      <c r="F174" s="18"/>
      <c r="G174" s="21"/>
      <c r="H174" s="18"/>
      <c r="I174" s="18"/>
      <c r="J174" s="18"/>
      <c r="K174" s="18"/>
      <c r="L174" s="22"/>
      <c r="AA174" s="148"/>
    </row>
    <row r="175" spans="1:27" ht="13.5" thickBot="1" x14ac:dyDescent="0.25">
      <c r="C175" s="18"/>
      <c r="D175" s="19">
        <f>SUM(E170)</f>
        <v>147200.24000000002</v>
      </c>
      <c r="F175" s="18"/>
      <c r="G175" s="20">
        <f>SUM(E170+G176)</f>
        <v>147200.24000000002</v>
      </c>
      <c r="H175" s="23">
        <f>SUM(F170*8)</f>
        <v>1093030</v>
      </c>
      <c r="I175" s="107" t="s">
        <v>282</v>
      </c>
      <c r="J175" s="18"/>
      <c r="K175" s="18"/>
      <c r="L175" s="22"/>
      <c r="AA175" s="149">
        <f>SUM(Y170+AA176)</f>
        <v>0</v>
      </c>
    </row>
    <row r="176" spans="1:27" ht="13.5" thickBot="1" x14ac:dyDescent="0.25">
      <c r="C176" s="24"/>
      <c r="D176" s="67">
        <v>147200.24</v>
      </c>
      <c r="F176" s="24"/>
      <c r="G176" s="154"/>
      <c r="I176" s="108" t="s">
        <v>285</v>
      </c>
      <c r="J176" s="26"/>
      <c r="K176" s="18"/>
      <c r="L176" s="22"/>
      <c r="AA176" s="149">
        <v>0</v>
      </c>
    </row>
    <row r="177" spans="3:27" ht="13.5" thickBot="1" x14ac:dyDescent="0.25">
      <c r="C177" s="25"/>
      <c r="D177" s="27" t="s">
        <v>284</v>
      </c>
      <c r="F177" s="25"/>
      <c r="G177" s="27" t="s">
        <v>1212</v>
      </c>
      <c r="K177" s="18"/>
      <c r="L177" s="22"/>
      <c r="AA177" s="150"/>
    </row>
    <row r="179" spans="3:27" x14ac:dyDescent="0.2">
      <c r="C179"/>
      <c r="H179" s="125"/>
    </row>
    <row r="180" spans="3:27" x14ac:dyDescent="0.2">
      <c r="C180"/>
      <c r="D180" s="130"/>
      <c r="G180" s="64"/>
      <c r="AA180" s="138"/>
    </row>
    <row r="181" spans="3:27" x14ac:dyDescent="0.2">
      <c r="C181"/>
      <c r="D181" s="131"/>
      <c r="G181" s="131"/>
      <c r="AA181" s="151">
        <v>1075004.46</v>
      </c>
    </row>
    <row r="182" spans="3:27" x14ac:dyDescent="0.2">
      <c r="C182"/>
      <c r="G182" s="125"/>
      <c r="AA182" s="152"/>
    </row>
    <row r="183" spans="3:27" x14ac:dyDescent="0.2">
      <c r="C183"/>
      <c r="G183" s="117"/>
      <c r="AA183" s="148"/>
    </row>
    <row r="184" spans="3:27" x14ac:dyDescent="0.2">
      <c r="C184"/>
    </row>
    <row r="185" spans="3:27" x14ac:dyDescent="0.2">
      <c r="C185"/>
    </row>
    <row r="186" spans="3:27" x14ac:dyDescent="0.2">
      <c r="C186"/>
    </row>
    <row r="187" spans="3:27" x14ac:dyDescent="0.2">
      <c r="C187"/>
    </row>
    <row r="188" spans="3:27" x14ac:dyDescent="0.2">
      <c r="C188"/>
    </row>
    <row r="189" spans="3:27" x14ac:dyDescent="0.2">
      <c r="C189"/>
    </row>
    <row r="190" spans="3:27" x14ac:dyDescent="0.2">
      <c r="C190"/>
    </row>
    <row r="191" spans="3:27" x14ac:dyDescent="0.2">
      <c r="C191"/>
    </row>
    <row r="192" spans="3:27" x14ac:dyDescent="0.2">
      <c r="C192"/>
    </row>
    <row r="193" spans="3:3" x14ac:dyDescent="0.2">
      <c r="C193"/>
    </row>
    <row r="194" spans="3:3" x14ac:dyDescent="0.2">
      <c r="C194"/>
    </row>
    <row r="195" spans="3:3" x14ac:dyDescent="0.2">
      <c r="C195"/>
    </row>
    <row r="196" spans="3:3" x14ac:dyDescent="0.2">
      <c r="C196"/>
    </row>
    <row r="197" spans="3:3" x14ac:dyDescent="0.2">
      <c r="C197"/>
    </row>
    <row r="198" spans="3:3" x14ac:dyDescent="0.2">
      <c r="C198"/>
    </row>
    <row r="199" spans="3:3" x14ac:dyDescent="0.2">
      <c r="C199"/>
    </row>
    <row r="200" spans="3:3" x14ac:dyDescent="0.2">
      <c r="C200"/>
    </row>
    <row r="201" spans="3:3" x14ac:dyDescent="0.2">
      <c r="C201"/>
    </row>
    <row r="202" spans="3:3" x14ac:dyDescent="0.2">
      <c r="C202"/>
    </row>
    <row r="203" spans="3:3" x14ac:dyDescent="0.2">
      <c r="C203"/>
    </row>
    <row r="204" spans="3:3" x14ac:dyDescent="0.2">
      <c r="C204"/>
    </row>
    <row r="205" spans="3:3" x14ac:dyDescent="0.2">
      <c r="C205"/>
    </row>
    <row r="206" spans="3:3" x14ac:dyDescent="0.2">
      <c r="C206"/>
    </row>
    <row r="207" spans="3:3" x14ac:dyDescent="0.2">
      <c r="C207"/>
    </row>
    <row r="208" spans="3:3" x14ac:dyDescent="0.2">
      <c r="C208"/>
    </row>
    <row r="209" spans="3:3" x14ac:dyDescent="0.2">
      <c r="C209"/>
    </row>
    <row r="210" spans="3:3" x14ac:dyDescent="0.2">
      <c r="C210"/>
    </row>
    <row r="211" spans="3:3" x14ac:dyDescent="0.2">
      <c r="C211"/>
    </row>
    <row r="212" spans="3:3" x14ac:dyDescent="0.2">
      <c r="C212"/>
    </row>
    <row r="213" spans="3:3" x14ac:dyDescent="0.2">
      <c r="C213"/>
    </row>
    <row r="216" spans="3:3" x14ac:dyDescent="0.2">
      <c r="C216"/>
    </row>
    <row r="217" spans="3:3" x14ac:dyDescent="0.2">
      <c r="C217"/>
    </row>
    <row r="218" spans="3:3" x14ac:dyDescent="0.2">
      <c r="C218"/>
    </row>
    <row r="219" spans="3:3" x14ac:dyDescent="0.2">
      <c r="C219"/>
    </row>
    <row r="220" spans="3:3" x14ac:dyDescent="0.2">
      <c r="C220"/>
    </row>
    <row r="221" spans="3:3" x14ac:dyDescent="0.2">
      <c r="C221"/>
    </row>
    <row r="222" spans="3:3" x14ac:dyDescent="0.2">
      <c r="C222"/>
    </row>
    <row r="223" spans="3:3" x14ac:dyDescent="0.2">
      <c r="C223"/>
    </row>
    <row r="224" spans="3:3" x14ac:dyDescent="0.2">
      <c r="C224"/>
    </row>
    <row r="225" spans="3:3" x14ac:dyDescent="0.2">
      <c r="C225"/>
    </row>
    <row r="226" spans="3:3" x14ac:dyDescent="0.2">
      <c r="C226"/>
    </row>
    <row r="227" spans="3:3" x14ac:dyDescent="0.2">
      <c r="C227"/>
    </row>
    <row r="228" spans="3:3" x14ac:dyDescent="0.2">
      <c r="C228"/>
    </row>
    <row r="229" spans="3:3" x14ac:dyDescent="0.2">
      <c r="C229"/>
    </row>
    <row r="230" spans="3:3" x14ac:dyDescent="0.2">
      <c r="C230"/>
    </row>
    <row r="231" spans="3:3" x14ac:dyDescent="0.2">
      <c r="C231"/>
    </row>
    <row r="232" spans="3:3" x14ac:dyDescent="0.2">
      <c r="C232"/>
    </row>
    <row r="233" spans="3:3" x14ac:dyDescent="0.2">
      <c r="C233"/>
    </row>
    <row r="234" spans="3:3" x14ac:dyDescent="0.2">
      <c r="C234"/>
    </row>
    <row r="235" spans="3:3" x14ac:dyDescent="0.2">
      <c r="C235"/>
    </row>
    <row r="236" spans="3:3" x14ac:dyDescent="0.2">
      <c r="C236"/>
    </row>
    <row r="237" spans="3:3" x14ac:dyDescent="0.2">
      <c r="C237"/>
    </row>
    <row r="238" spans="3:3" x14ac:dyDescent="0.2">
      <c r="C238"/>
    </row>
    <row r="239" spans="3:3" x14ac:dyDescent="0.2">
      <c r="C239"/>
    </row>
    <row r="240" spans="3:3" x14ac:dyDescent="0.2">
      <c r="C240"/>
    </row>
    <row r="241" spans="3:3" x14ac:dyDescent="0.2">
      <c r="C241"/>
    </row>
    <row r="242" spans="3:3" x14ac:dyDescent="0.2">
      <c r="C242"/>
    </row>
    <row r="243" spans="3:3" x14ac:dyDescent="0.2">
      <c r="C243"/>
    </row>
    <row r="244" spans="3:3" x14ac:dyDescent="0.2">
      <c r="C244"/>
    </row>
    <row r="245" spans="3:3" x14ac:dyDescent="0.2">
      <c r="C245"/>
    </row>
    <row r="246" spans="3:3" x14ac:dyDescent="0.2">
      <c r="C246"/>
    </row>
    <row r="247" spans="3:3" x14ac:dyDescent="0.2">
      <c r="C247"/>
    </row>
    <row r="248" spans="3:3" x14ac:dyDescent="0.2">
      <c r="C248"/>
    </row>
    <row r="249" spans="3:3" x14ac:dyDescent="0.2">
      <c r="C249"/>
    </row>
    <row r="250" spans="3:3" x14ac:dyDescent="0.2">
      <c r="C250"/>
    </row>
    <row r="251" spans="3:3" x14ac:dyDescent="0.2">
      <c r="C251"/>
    </row>
    <row r="252" spans="3:3" x14ac:dyDescent="0.2">
      <c r="C252"/>
    </row>
    <row r="253" spans="3:3" x14ac:dyDescent="0.2">
      <c r="C253"/>
    </row>
    <row r="254" spans="3:3" x14ac:dyDescent="0.2">
      <c r="C254"/>
    </row>
    <row r="255" spans="3:3" x14ac:dyDescent="0.2">
      <c r="C255"/>
    </row>
    <row r="256" spans="3:3" x14ac:dyDescent="0.2">
      <c r="C256"/>
    </row>
    <row r="257" spans="3:3" x14ac:dyDescent="0.2">
      <c r="C257"/>
    </row>
    <row r="258" spans="3:3" x14ac:dyDescent="0.2">
      <c r="C258"/>
    </row>
    <row r="259" spans="3:3" x14ac:dyDescent="0.2">
      <c r="C259"/>
    </row>
    <row r="260" spans="3:3" x14ac:dyDescent="0.2">
      <c r="C260"/>
    </row>
    <row r="261" spans="3:3" x14ac:dyDescent="0.2">
      <c r="C261"/>
    </row>
    <row r="262" spans="3:3" x14ac:dyDescent="0.2">
      <c r="C262"/>
    </row>
    <row r="263" spans="3:3" x14ac:dyDescent="0.2">
      <c r="C263"/>
    </row>
    <row r="264" spans="3:3" x14ac:dyDescent="0.2">
      <c r="C264"/>
    </row>
    <row r="265" spans="3:3" x14ac:dyDescent="0.2">
      <c r="C265"/>
    </row>
    <row r="266" spans="3:3" x14ac:dyDescent="0.2">
      <c r="C266"/>
    </row>
    <row r="267" spans="3:3" x14ac:dyDescent="0.2">
      <c r="C267"/>
    </row>
    <row r="268" spans="3:3" x14ac:dyDescent="0.2">
      <c r="C268"/>
    </row>
    <row r="269" spans="3:3" x14ac:dyDescent="0.2">
      <c r="C269"/>
    </row>
    <row r="270" spans="3:3" x14ac:dyDescent="0.2">
      <c r="C270"/>
    </row>
    <row r="271" spans="3:3" x14ac:dyDescent="0.2">
      <c r="C271"/>
    </row>
    <row r="272" spans="3:3" x14ac:dyDescent="0.2">
      <c r="C272"/>
    </row>
    <row r="273" spans="3:3" x14ac:dyDescent="0.2">
      <c r="C273"/>
    </row>
    <row r="274" spans="3:3" x14ac:dyDescent="0.2">
      <c r="C274"/>
    </row>
    <row r="275" spans="3:3" x14ac:dyDescent="0.2">
      <c r="C275"/>
    </row>
    <row r="276" spans="3:3" x14ac:dyDescent="0.2">
      <c r="C276"/>
    </row>
    <row r="277" spans="3:3" x14ac:dyDescent="0.2">
      <c r="C277"/>
    </row>
    <row r="278" spans="3:3" x14ac:dyDescent="0.2">
      <c r="C278"/>
    </row>
    <row r="279" spans="3:3" x14ac:dyDescent="0.2">
      <c r="C279"/>
    </row>
    <row r="280" spans="3:3" x14ac:dyDescent="0.2">
      <c r="C280"/>
    </row>
    <row r="281" spans="3:3" x14ac:dyDescent="0.2">
      <c r="C281"/>
    </row>
    <row r="282" spans="3:3" x14ac:dyDescent="0.2">
      <c r="C282"/>
    </row>
    <row r="283" spans="3:3" x14ac:dyDescent="0.2">
      <c r="C283"/>
    </row>
    <row r="284" spans="3:3" x14ac:dyDescent="0.2">
      <c r="C284"/>
    </row>
    <row r="285" spans="3:3" x14ac:dyDescent="0.2">
      <c r="C285"/>
    </row>
    <row r="286" spans="3:3" x14ac:dyDescent="0.2">
      <c r="C286"/>
    </row>
    <row r="287" spans="3:3" x14ac:dyDescent="0.2">
      <c r="C287"/>
    </row>
    <row r="288" spans="3:3" x14ac:dyDescent="0.2">
      <c r="C288"/>
    </row>
    <row r="289" spans="3:3" x14ac:dyDescent="0.2">
      <c r="C289"/>
    </row>
    <row r="290" spans="3:3" x14ac:dyDescent="0.2">
      <c r="C290"/>
    </row>
    <row r="291" spans="3:3" x14ac:dyDescent="0.2">
      <c r="C291"/>
    </row>
    <row r="292" spans="3:3" x14ac:dyDescent="0.2">
      <c r="C292"/>
    </row>
    <row r="293" spans="3:3" x14ac:dyDescent="0.2">
      <c r="C293"/>
    </row>
    <row r="294" spans="3:3" x14ac:dyDescent="0.2">
      <c r="C294"/>
    </row>
    <row r="295" spans="3:3" x14ac:dyDescent="0.2">
      <c r="C295"/>
    </row>
    <row r="296" spans="3:3" x14ac:dyDescent="0.2">
      <c r="C296"/>
    </row>
    <row r="297" spans="3:3" x14ac:dyDescent="0.2">
      <c r="C297"/>
    </row>
    <row r="298" spans="3:3" x14ac:dyDescent="0.2">
      <c r="C298"/>
    </row>
    <row r="299" spans="3:3" x14ac:dyDescent="0.2">
      <c r="C299"/>
    </row>
    <row r="300" spans="3:3" x14ac:dyDescent="0.2">
      <c r="C300"/>
    </row>
    <row r="301" spans="3:3" x14ac:dyDescent="0.2">
      <c r="C301"/>
    </row>
    <row r="302" spans="3:3" x14ac:dyDescent="0.2">
      <c r="C302"/>
    </row>
    <row r="303" spans="3:3" x14ac:dyDescent="0.2">
      <c r="C303"/>
    </row>
    <row r="304" spans="3:3" x14ac:dyDescent="0.2">
      <c r="C304"/>
    </row>
    <row r="305" spans="3:3" x14ac:dyDescent="0.2">
      <c r="C305"/>
    </row>
    <row r="306" spans="3:3" x14ac:dyDescent="0.2">
      <c r="C306"/>
    </row>
    <row r="307" spans="3:3" x14ac:dyDescent="0.2">
      <c r="C307"/>
    </row>
    <row r="308" spans="3:3" x14ac:dyDescent="0.2">
      <c r="C308"/>
    </row>
    <row r="309" spans="3:3" x14ac:dyDescent="0.2">
      <c r="C309"/>
    </row>
    <row r="310" spans="3:3" x14ac:dyDescent="0.2">
      <c r="C310"/>
    </row>
    <row r="311" spans="3:3" x14ac:dyDescent="0.2">
      <c r="C311"/>
    </row>
    <row r="312" spans="3:3" x14ac:dyDescent="0.2">
      <c r="C312"/>
    </row>
    <row r="313" spans="3:3" x14ac:dyDescent="0.2">
      <c r="C313"/>
    </row>
    <row r="314" spans="3:3" x14ac:dyDescent="0.2">
      <c r="C314"/>
    </row>
    <row r="315" spans="3:3" x14ac:dyDescent="0.2">
      <c r="C315"/>
    </row>
    <row r="316" spans="3:3" x14ac:dyDescent="0.2">
      <c r="C316"/>
    </row>
    <row r="317" spans="3:3" x14ac:dyDescent="0.2">
      <c r="C317"/>
    </row>
    <row r="318" spans="3:3" x14ac:dyDescent="0.2">
      <c r="C318"/>
    </row>
    <row r="319" spans="3:3" x14ac:dyDescent="0.2">
      <c r="C319"/>
    </row>
    <row r="320" spans="3:3" x14ac:dyDescent="0.2">
      <c r="C320"/>
    </row>
    <row r="321" spans="3:3" x14ac:dyDescent="0.2">
      <c r="C321"/>
    </row>
    <row r="322" spans="3:3" x14ac:dyDescent="0.2">
      <c r="C322"/>
    </row>
    <row r="323" spans="3:3" x14ac:dyDescent="0.2">
      <c r="C323"/>
    </row>
    <row r="324" spans="3:3" x14ac:dyDescent="0.2">
      <c r="C324"/>
    </row>
    <row r="325" spans="3:3" x14ac:dyDescent="0.2">
      <c r="C325"/>
    </row>
    <row r="326" spans="3:3" x14ac:dyDescent="0.2">
      <c r="C326"/>
    </row>
    <row r="327" spans="3:3" x14ac:dyDescent="0.2">
      <c r="C327"/>
    </row>
    <row r="328" spans="3:3" x14ac:dyDescent="0.2">
      <c r="C328"/>
    </row>
    <row r="329" spans="3:3" x14ac:dyDescent="0.2">
      <c r="C329"/>
    </row>
    <row r="330" spans="3:3" x14ac:dyDescent="0.2">
      <c r="C330"/>
    </row>
    <row r="331" spans="3:3" x14ac:dyDescent="0.2">
      <c r="C331"/>
    </row>
    <row r="332" spans="3:3" x14ac:dyDescent="0.2">
      <c r="C332"/>
    </row>
    <row r="333" spans="3:3" x14ac:dyDescent="0.2">
      <c r="C333"/>
    </row>
    <row r="334" spans="3:3" x14ac:dyDescent="0.2">
      <c r="C334"/>
    </row>
    <row r="335" spans="3:3" x14ac:dyDescent="0.2">
      <c r="C335"/>
    </row>
    <row r="336" spans="3:3" x14ac:dyDescent="0.2">
      <c r="C336"/>
    </row>
    <row r="337" spans="3:3" x14ac:dyDescent="0.2">
      <c r="C337"/>
    </row>
    <row r="338" spans="3:3" x14ac:dyDescent="0.2">
      <c r="C338"/>
    </row>
    <row r="339" spans="3:3" x14ac:dyDescent="0.2">
      <c r="C339"/>
    </row>
    <row r="340" spans="3:3" x14ac:dyDescent="0.2">
      <c r="C340"/>
    </row>
    <row r="341" spans="3:3" x14ac:dyDescent="0.2">
      <c r="C341"/>
    </row>
    <row r="342" spans="3:3" x14ac:dyDescent="0.2">
      <c r="C342"/>
    </row>
    <row r="343" spans="3:3" x14ac:dyDescent="0.2">
      <c r="C343"/>
    </row>
    <row r="344" spans="3:3" x14ac:dyDescent="0.2">
      <c r="C344"/>
    </row>
    <row r="345" spans="3:3" x14ac:dyDescent="0.2">
      <c r="C345"/>
    </row>
    <row r="346" spans="3:3" x14ac:dyDescent="0.2">
      <c r="C346"/>
    </row>
    <row r="347" spans="3:3" x14ac:dyDescent="0.2">
      <c r="C347"/>
    </row>
    <row r="348" spans="3:3" x14ac:dyDescent="0.2">
      <c r="C348"/>
    </row>
    <row r="349" spans="3:3" x14ac:dyDescent="0.2">
      <c r="C349"/>
    </row>
    <row r="350" spans="3:3" x14ac:dyDescent="0.2">
      <c r="C350"/>
    </row>
    <row r="351" spans="3:3" x14ac:dyDescent="0.2">
      <c r="C351"/>
    </row>
    <row r="352" spans="3:3" x14ac:dyDescent="0.2">
      <c r="C352"/>
    </row>
    <row r="353" spans="3:3" x14ac:dyDescent="0.2">
      <c r="C353"/>
    </row>
    <row r="354" spans="3:3" x14ac:dyDescent="0.2">
      <c r="C354"/>
    </row>
    <row r="355" spans="3:3" x14ac:dyDescent="0.2">
      <c r="C355"/>
    </row>
    <row r="356" spans="3:3" x14ac:dyDescent="0.2">
      <c r="C356"/>
    </row>
    <row r="357" spans="3:3" x14ac:dyDescent="0.2">
      <c r="C357"/>
    </row>
    <row r="358" spans="3:3" x14ac:dyDescent="0.2">
      <c r="C358"/>
    </row>
    <row r="359" spans="3:3" x14ac:dyDescent="0.2">
      <c r="C359"/>
    </row>
    <row r="360" spans="3:3" x14ac:dyDescent="0.2">
      <c r="C360"/>
    </row>
    <row r="361" spans="3:3" x14ac:dyDescent="0.2">
      <c r="C361"/>
    </row>
    <row r="362" spans="3:3" x14ac:dyDescent="0.2">
      <c r="C362"/>
    </row>
    <row r="363" spans="3:3" x14ac:dyDescent="0.2">
      <c r="C363"/>
    </row>
    <row r="364" spans="3:3" x14ac:dyDescent="0.2">
      <c r="C364"/>
    </row>
    <row r="365" spans="3:3" x14ac:dyDescent="0.2">
      <c r="C365"/>
    </row>
    <row r="366" spans="3:3" x14ac:dyDescent="0.2">
      <c r="C366"/>
    </row>
    <row r="367" spans="3:3" x14ac:dyDescent="0.2">
      <c r="C367"/>
    </row>
    <row r="368" spans="3:3" x14ac:dyDescent="0.2">
      <c r="C368"/>
    </row>
    <row r="369" spans="3:3" x14ac:dyDescent="0.2">
      <c r="C369"/>
    </row>
    <row r="370" spans="3:3" x14ac:dyDescent="0.2">
      <c r="C370"/>
    </row>
    <row r="371" spans="3:3" x14ac:dyDescent="0.2">
      <c r="C371"/>
    </row>
    <row r="372" spans="3:3" x14ac:dyDescent="0.2">
      <c r="C372"/>
    </row>
    <row r="373" spans="3:3" x14ac:dyDescent="0.2">
      <c r="C373"/>
    </row>
    <row r="374" spans="3:3" x14ac:dyDescent="0.2">
      <c r="C374"/>
    </row>
    <row r="375" spans="3:3" x14ac:dyDescent="0.2">
      <c r="C375"/>
    </row>
    <row r="376" spans="3:3" x14ac:dyDescent="0.2">
      <c r="C376"/>
    </row>
    <row r="377" spans="3:3" x14ac:dyDescent="0.2">
      <c r="C377"/>
    </row>
    <row r="378" spans="3:3" x14ac:dyDescent="0.2">
      <c r="C378"/>
    </row>
    <row r="379" spans="3:3" x14ac:dyDescent="0.2">
      <c r="C379"/>
    </row>
  </sheetData>
  <sortState xmlns:xlrd2="http://schemas.microsoft.com/office/spreadsheetml/2017/richdata2" ref="A162:L167">
    <sortCondition ref="B162:B167"/>
  </sortState>
  <mergeCells count="1">
    <mergeCell ref="E6:F6"/>
  </mergeCells>
  <printOptions horizontalCentered="1" gridLines="1"/>
  <pageMargins left="0" right="0" top="0" bottom="0.5" header="0" footer="0"/>
  <pageSetup scale="88" fitToWidth="2" fitToHeight="30" orientation="landscape" r:id="rId1"/>
  <headerFooter>
    <oddFooter>&amp;L&amp;D&amp;C&amp;F
&amp;RPage &amp;P of &amp;N</oddFooter>
  </headerFooter>
  <rowBreaks count="3" manualBreakCount="3">
    <brk id="44" max="12" man="1"/>
    <brk id="89" max="12" man="1"/>
    <brk id="136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3A8FE2701224D81C598D5E8A2A9F8" ma:contentTypeVersion="10" ma:contentTypeDescription="Create a new document." ma:contentTypeScope="" ma:versionID="6a918f51f425c57cabd85a188f7bdfe6">
  <xsd:schema xmlns:xsd="http://www.w3.org/2001/XMLSchema" xmlns:xs="http://www.w3.org/2001/XMLSchema" xmlns:p="http://schemas.microsoft.com/office/2006/metadata/properties" xmlns:ns3="d2db1465-6401-4772-b7bb-db77c21ab889" targetNamespace="http://schemas.microsoft.com/office/2006/metadata/properties" ma:root="true" ma:fieldsID="8bcee373ec1dff661b8a33f9c672e571" ns3:_="">
    <xsd:import namespace="d2db1465-6401-4772-b7bb-db77c21ab8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1465-6401-4772-b7bb-db77c21ab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F85C9-010A-4391-A519-563985A55986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2db1465-6401-4772-b7bb-db77c21ab8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539632-2DFD-4B73-AF72-64C2AB88C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b1465-6401-4772-b7bb-db77c21ab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4557F-E834-44C3-8D2F-7016BA86EF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QB month</vt:lpstr>
      <vt:lpstr>QB year</vt:lpstr>
      <vt:lpstr>proofing</vt:lpstr>
      <vt:lpstr>August 2024</vt:lpstr>
      <vt:lpstr>'August 2024'!Print_Area</vt:lpstr>
      <vt:lpstr>proofing!Print_Area</vt:lpstr>
      <vt:lpstr>'QB month'!Print_Area</vt:lpstr>
      <vt:lpstr>'August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Lisa Pennington</cp:lastModifiedBy>
  <cp:lastPrinted>2024-09-06T20:04:10Z</cp:lastPrinted>
  <dcterms:created xsi:type="dcterms:W3CDTF">2013-07-02T16:39:12Z</dcterms:created>
  <dcterms:modified xsi:type="dcterms:W3CDTF">2024-09-13T20:54:09Z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0x01010017F3A8FE2701224D81C598D5E8A2A9F8</vt:lpwstr>
  </property>
</Properties>
</file>